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P:\Products &amp; Services\[07] Technical Support\Battery Calculation Tool\AxisEN\NEW Base Card\"/>
    </mc:Choice>
  </mc:AlternateContent>
  <xr:revisionPtr revIDLastSave="0" documentId="13_ncr:1_{AA697DDB-86FC-48D0-AB1B-28B43FBB53CD}" xr6:coauthVersionLast="47" xr6:coauthVersionMax="47" xr10:uidLastSave="{00000000-0000-0000-0000-000000000000}"/>
  <bookViews>
    <workbookView xWindow="28680" yWindow="0" windowWidth="29040" windowHeight="15720" xr2:uid="{C8B90B21-EDD9-4C1E-AD94-225CE2A0442E}"/>
  </bookViews>
  <sheets>
    <sheet name="AxisEN" sheetId="1" r:id="rId1"/>
  </sheets>
  <definedNames>
    <definedName name="Apollo">#REF!</definedName>
    <definedName name="Device">#REF!</definedName>
    <definedName name="NBRLED">AxisEN!#REF!</definedName>
    <definedName name="_xlnm.Print_Area" localSheetId="0">AxisEN!$A$1:$I$42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1" l="1"/>
  <c r="H15" i="1" s="1"/>
  <c r="G13" i="1"/>
  <c r="H13" i="1" s="1"/>
  <c r="G11" i="1"/>
  <c r="H11" i="1" s="1"/>
  <c r="G9" i="1"/>
  <c r="H9" i="1"/>
  <c r="H10" i="1"/>
  <c r="H12" i="1"/>
  <c r="H14" i="1"/>
  <c r="F16" i="1"/>
  <c r="G16" i="1"/>
  <c r="F17" i="1"/>
  <c r="H17" i="1" s="1"/>
  <c r="G17" i="1"/>
  <c r="F18" i="1"/>
  <c r="G18" i="1"/>
  <c r="F19" i="1"/>
  <c r="H19" i="1" s="1"/>
  <c r="G19" i="1"/>
  <c r="F20" i="1"/>
  <c r="H20" i="1" s="1"/>
  <c r="G20" i="1"/>
  <c r="H26" i="1"/>
  <c r="H27" i="1"/>
  <c r="H8" i="1"/>
  <c r="F7" i="1"/>
  <c r="H7" i="1" s="1"/>
  <c r="H21" i="1"/>
  <c r="H22" i="1"/>
  <c r="H24" i="1"/>
  <c r="H25" i="1"/>
  <c r="E11" i="1"/>
  <c r="E13" i="1"/>
  <c r="E15" i="1"/>
  <c r="E8" i="1"/>
  <c r="E10" i="1"/>
  <c r="E12" i="1"/>
  <c r="E14" i="1"/>
  <c r="C16" i="1"/>
  <c r="E16" i="1" s="1"/>
  <c r="C17" i="1"/>
  <c r="E17" i="1" s="1"/>
  <c r="E7" i="1"/>
  <c r="E9" i="1"/>
  <c r="C18" i="1"/>
  <c r="E18" i="1" s="1"/>
  <c r="C19" i="1"/>
  <c r="E19" i="1"/>
  <c r="C20" i="1"/>
  <c r="E20" i="1"/>
  <c r="E21" i="1"/>
  <c r="E22" i="1"/>
  <c r="B27" i="1"/>
  <c r="B26" i="1"/>
  <c r="E40" i="1"/>
  <c r="E39" i="1"/>
  <c r="E36" i="1"/>
  <c r="E38" i="1"/>
  <c r="E37" i="1"/>
  <c r="B20" i="1"/>
  <c r="B21" i="1"/>
  <c r="B19" i="1"/>
  <c r="M20" i="1"/>
  <c r="M21" i="1"/>
  <c r="M22" i="1"/>
  <c r="M23" i="1"/>
  <c r="L20" i="1"/>
  <c r="B18" i="1"/>
  <c r="L23" i="1"/>
  <c r="L22" i="1"/>
  <c r="L21" i="1"/>
  <c r="B17" i="1"/>
  <c r="B16" i="1"/>
  <c r="H18" i="1" l="1"/>
  <c r="H16" i="1"/>
  <c r="E28" i="1"/>
  <c r="E29" i="1" s="1"/>
  <c r="H30" i="1" s="1"/>
  <c r="H28" i="1" l="1"/>
  <c r="H29" i="1" s="1"/>
  <c r="H31" i="1" s="1"/>
  <c r="H32" i="1" s="1"/>
  <c r="C41" i="1" s="1"/>
  <c r="E41" i="1" s="1"/>
</calcChain>
</file>

<file path=xl/sharedStrings.xml><?xml version="1.0" encoding="utf-8"?>
<sst xmlns="http://schemas.openxmlformats.org/spreadsheetml/2006/main" count="67" uniqueCount="50">
  <si>
    <t>NONE</t>
  </si>
  <si>
    <t>Quiescent Load</t>
  </si>
  <si>
    <t>Project</t>
  </si>
  <si>
    <t>Completed by</t>
  </si>
  <si>
    <t>Date</t>
  </si>
  <si>
    <t>Fire Alarm Load</t>
  </si>
  <si>
    <t>I(A)</t>
  </si>
  <si>
    <t>X</t>
  </si>
  <si>
    <t>Total</t>
  </si>
  <si>
    <t>Sensor  / Loop Current*</t>
  </si>
  <si>
    <r>
      <t xml:space="preserve">Loop Driver </t>
    </r>
    <r>
      <rPr>
        <b/>
        <i/>
        <sz val="8"/>
        <rFont val="Arial"/>
        <family val="2"/>
      </rPr>
      <t>Loop 1</t>
    </r>
  </si>
  <si>
    <r>
      <t xml:space="preserve">Loop Driver </t>
    </r>
    <r>
      <rPr>
        <b/>
        <i/>
        <sz val="8"/>
        <rFont val="Arial"/>
        <family val="2"/>
      </rPr>
      <t>Loop 2</t>
    </r>
  </si>
  <si>
    <r>
      <t xml:space="preserve">Loop Driver </t>
    </r>
    <r>
      <rPr>
        <b/>
        <i/>
        <sz val="8"/>
        <rFont val="Arial"/>
        <family val="2"/>
      </rPr>
      <t>Loop 3</t>
    </r>
  </si>
  <si>
    <r>
      <t xml:space="preserve">Loop Driver </t>
    </r>
    <r>
      <rPr>
        <b/>
        <i/>
        <sz val="8"/>
        <rFont val="Arial"/>
        <family val="2"/>
      </rPr>
      <t>Loop 4</t>
    </r>
  </si>
  <si>
    <t>Sounder Output A</t>
  </si>
  <si>
    <t>Sounder Output B</t>
  </si>
  <si>
    <t>ΣAlarm Load</t>
  </si>
  <si>
    <t xml:space="preserve">Standby Duration (hours) = </t>
  </si>
  <si>
    <t>Hr</t>
  </si>
  <si>
    <t>X(2 x 0.5) =</t>
  </si>
  <si>
    <t>→ (carry forward) +</t>
  </si>
  <si>
    <t>Total Load (Quiescent + Alarm) =</t>
  </si>
  <si>
    <t>X 1.25 (Battery De-rating factor)** =</t>
  </si>
  <si>
    <t>Chassis</t>
  </si>
  <si>
    <t>Q</t>
  </si>
  <si>
    <t>A</t>
  </si>
  <si>
    <t>NETWORK</t>
  </si>
  <si>
    <t>LCD DIMMING MODE</t>
  </si>
  <si>
    <t>OFF</t>
  </si>
  <si>
    <t>DIM</t>
  </si>
  <si>
    <t>ON</t>
  </si>
  <si>
    <t>MXP-509</t>
  </si>
  <si>
    <t>MXP-503</t>
  </si>
  <si>
    <t>MXP-507</t>
  </si>
  <si>
    <t>MXP-532</t>
  </si>
  <si>
    <t>ROUTING / RELAY CARDS</t>
  </si>
  <si>
    <t>LED CARDS - NBR OF LEDS</t>
  </si>
  <si>
    <t>PANEL</t>
  </si>
  <si>
    <t>PRINTER</t>
  </si>
  <si>
    <t>MXP-512</t>
  </si>
  <si>
    <t>MXP-504</t>
  </si>
  <si>
    <t>MXP-504/508</t>
  </si>
  <si>
    <t>ANCILLARY SUPPLY OUTPUT (AUX)</t>
  </si>
  <si>
    <t>MINIMUM ENCLOSURE</t>
  </si>
  <si>
    <t>OPTIONS:</t>
  </si>
  <si>
    <t>FAT/FBF/FSD/ÜE INTERFACE</t>
  </si>
  <si>
    <t>SND 85dB</t>
  </si>
  <si>
    <t>SND 90dB</t>
  </si>
  <si>
    <t>ΣQuiescent Load</t>
  </si>
  <si>
    <t>Take load calculated from Advanced Loop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</si>
</sst>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[$-F800]dddd\,\ mmmm\ dd\,\ yyyy"/>
    <numFmt numFmtId="166" formatCode="0.000"/>
  </numFmts>
  <fonts count="8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sz val="10"/>
      <name val="Arial"/>
      <family val="2"/>
    </font>
    <font>
      <i/>
      <sz val="8"/>
      <name val="Arial"/>
      <family val="2"/>
    </font>
    <font>
      <b/>
      <i/>
      <sz val="8"/>
      <name val="Arial"/>
      <family val="2"/>
    </font>
    <font>
      <sz val="10"/>
      <color indexed="12"/>
      <name val="Arial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FF9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1" xfId="0" applyFont="1" applyBorder="1"/>
    <xf numFmtId="0" fontId="3" fillId="0" borderId="2" xfId="0" applyFont="1" applyBorder="1"/>
    <xf numFmtId="0" fontId="0" fillId="0" borderId="1" xfId="0" applyBorder="1"/>
    <xf numFmtId="0" fontId="0" fillId="2" borderId="0" xfId="0" applyFill="1"/>
    <xf numFmtId="0" fontId="3" fillId="0" borderId="1" xfId="0" applyFont="1" applyBorder="1" applyAlignment="1">
      <alignment horizontal="center"/>
    </xf>
    <xf numFmtId="0" fontId="5" fillId="0" borderId="1" xfId="0" applyFont="1" applyBorder="1"/>
    <xf numFmtId="0" fontId="1" fillId="0" borderId="1" xfId="0" applyFont="1" applyBorder="1"/>
    <xf numFmtId="0" fontId="0" fillId="0" borderId="3" xfId="0" applyBorder="1"/>
    <xf numFmtId="0" fontId="0" fillId="0" borderId="4" xfId="0" applyBorder="1" applyAlignment="1">
      <alignment horizontal="right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4" fillId="0" borderId="7" xfId="0" applyFont="1" applyBorder="1" applyAlignment="1">
      <alignment horizontal="center"/>
    </xf>
    <xf numFmtId="0" fontId="0" fillId="0" borderId="3" xfId="0" applyBorder="1" applyAlignment="1">
      <alignment horizontal="right"/>
    </xf>
    <xf numFmtId="0" fontId="0" fillId="0" borderId="8" xfId="0" applyBorder="1"/>
    <xf numFmtId="164" fontId="0" fillId="0" borderId="1" xfId="0" applyNumberFormat="1" applyBorder="1"/>
    <xf numFmtId="0" fontId="7" fillId="0" borderId="1" xfId="0" applyFont="1" applyBorder="1"/>
    <xf numFmtId="164" fontId="0" fillId="2" borderId="0" xfId="0" applyNumberFormat="1" applyFill="1"/>
    <xf numFmtId="164" fontId="0" fillId="3" borderId="3" xfId="0" applyNumberFormat="1" applyFill="1" applyBorder="1" applyProtection="1">
      <protection locked="0"/>
    </xf>
    <xf numFmtId="164" fontId="0" fillId="2" borderId="9" xfId="0" applyNumberFormat="1" applyFill="1" applyBorder="1"/>
    <xf numFmtId="164" fontId="0" fillId="2" borderId="4" xfId="0" applyNumberFormat="1" applyFill="1" applyBorder="1"/>
    <xf numFmtId="164" fontId="0" fillId="0" borderId="3" xfId="0" applyNumberFormat="1" applyBorder="1"/>
    <xf numFmtId="166" fontId="0" fillId="0" borderId="1" xfId="0" applyNumberFormat="1" applyBorder="1"/>
    <xf numFmtId="166" fontId="4" fillId="0" borderId="1" xfId="0" applyNumberFormat="1" applyFont="1" applyBorder="1"/>
    <xf numFmtId="166" fontId="0" fillId="0" borderId="4" xfId="0" applyNumberFormat="1" applyBorder="1" applyAlignment="1">
      <alignment horizontal="right"/>
    </xf>
    <xf numFmtId="166" fontId="0" fillId="0" borderId="3" xfId="0" applyNumberFormat="1" applyBorder="1" applyAlignment="1">
      <alignment horizontal="right"/>
    </xf>
    <xf numFmtId="166" fontId="0" fillId="0" borderId="2" xfId="0" applyNumberFormat="1" applyBorder="1" applyAlignment="1">
      <alignment horizontal="right"/>
    </xf>
    <xf numFmtId="0" fontId="7" fillId="3" borderId="1" xfId="0" applyFont="1" applyFill="1" applyBorder="1" applyProtection="1">
      <protection locked="0"/>
    </xf>
    <xf numFmtId="166" fontId="0" fillId="3" borderId="1" xfId="0" applyNumberFormat="1" applyFill="1" applyBorder="1" applyProtection="1">
      <protection locked="0"/>
    </xf>
    <xf numFmtId="2" fontId="3" fillId="4" borderId="4" xfId="0" applyNumberFormat="1" applyFont="1" applyFill="1" applyBorder="1" applyAlignment="1">
      <alignment horizontal="right"/>
    </xf>
    <xf numFmtId="0" fontId="6" fillId="0" borderId="2" xfId="0" applyFont="1" applyBorder="1"/>
    <xf numFmtId="0" fontId="3" fillId="0" borderId="6" xfId="0" applyFont="1" applyBorder="1"/>
    <xf numFmtId="0" fontId="3" fillId="0" borderId="3" xfId="0" applyFont="1" applyBorder="1"/>
    <xf numFmtId="2" fontId="3" fillId="0" borderId="4" xfId="0" applyNumberFormat="1" applyFont="1" applyBorder="1"/>
    <xf numFmtId="2" fontId="3" fillId="0" borderId="3" xfId="0" applyNumberFormat="1" applyFont="1" applyBorder="1"/>
    <xf numFmtId="49" fontId="0" fillId="0" borderId="0" xfId="0" applyNumberFormat="1"/>
    <xf numFmtId="0" fontId="0" fillId="5" borderId="10" xfId="0" applyFill="1" applyBorder="1"/>
    <xf numFmtId="0" fontId="0" fillId="5" borderId="11" xfId="0" applyFill="1" applyBorder="1"/>
    <xf numFmtId="0" fontId="0" fillId="5" borderId="12" xfId="0" applyFill="1" applyBorder="1"/>
    <xf numFmtId="0" fontId="0" fillId="5" borderId="13" xfId="0" applyFill="1" applyBorder="1"/>
    <xf numFmtId="0" fontId="0" fillId="5" borderId="14" xfId="0" applyFill="1" applyBorder="1"/>
    <xf numFmtId="0" fontId="0" fillId="5" borderId="0" xfId="0" applyFill="1"/>
    <xf numFmtId="0" fontId="0" fillId="5" borderId="15" xfId="0" applyFill="1" applyBorder="1"/>
    <xf numFmtId="0" fontId="0" fillId="5" borderId="15" xfId="0" applyFill="1" applyBorder="1" applyProtection="1">
      <protection locked="0"/>
    </xf>
    <xf numFmtId="0" fontId="3" fillId="5" borderId="15" xfId="0" applyFont="1" applyFill="1" applyBorder="1"/>
    <xf numFmtId="0" fontId="3" fillId="5" borderId="15" xfId="0" applyFont="1" applyFill="1" applyBorder="1" applyAlignment="1">
      <alignment horizontal="center"/>
    </xf>
    <xf numFmtId="164" fontId="0" fillId="5" borderId="15" xfId="0" applyNumberFormat="1" applyFill="1" applyBorder="1"/>
    <xf numFmtId="0" fontId="0" fillId="5" borderId="15" xfId="0" applyFill="1" applyBorder="1" applyAlignment="1">
      <alignment horizontal="right"/>
    </xf>
    <xf numFmtId="2" fontId="3" fillId="5" borderId="15" xfId="0" applyNumberFormat="1" applyFont="1" applyFill="1" applyBorder="1" applyAlignment="1">
      <alignment horizontal="right"/>
    </xf>
    <xf numFmtId="0" fontId="0" fillId="5" borderId="16" xfId="0" applyFill="1" applyBorder="1"/>
    <xf numFmtId="0" fontId="0" fillId="5" borderId="17" xfId="0" applyFill="1" applyBorder="1"/>
    <xf numFmtId="49" fontId="3" fillId="3" borderId="1" xfId="0" applyNumberFormat="1" applyFont="1" applyFill="1" applyBorder="1" applyProtection="1">
      <protection locked="0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6" borderId="0" xfId="0" applyFill="1" applyAlignment="1">
      <alignment wrapText="1"/>
    </xf>
    <xf numFmtId="0" fontId="0" fillId="5" borderId="18" xfId="0" applyFill="1" applyBorder="1"/>
    <xf numFmtId="0" fontId="0" fillId="0" borderId="0" xfId="0"/>
    <xf numFmtId="0" fontId="3" fillId="3" borderId="6" xfId="0" applyFont="1" applyFill="1" applyBorder="1" applyProtection="1">
      <protection locked="0"/>
    </xf>
    <xf numFmtId="0" fontId="0" fillId="0" borderId="7" xfId="0" applyBorder="1" applyProtection="1">
      <protection locked="0"/>
    </xf>
    <xf numFmtId="0" fontId="0" fillId="0" borderId="3" xfId="0" applyBorder="1" applyProtection="1">
      <protection locked="0"/>
    </xf>
    <xf numFmtId="0" fontId="4" fillId="3" borderId="6" xfId="0" applyFont="1" applyFill="1" applyBorder="1" applyProtection="1">
      <protection locked="0"/>
    </xf>
    <xf numFmtId="165" fontId="0" fillId="3" borderId="6" xfId="0" applyNumberFormat="1" applyFill="1" applyBorder="1" applyProtection="1">
      <protection locked="0"/>
    </xf>
    <xf numFmtId="165" fontId="0" fillId="0" borderId="3" xfId="0" applyNumberFormat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0" borderId="1" xfId="0" applyBorder="1"/>
    <xf numFmtId="166" fontId="0" fillId="6" borderId="1" xfId="0" applyNumberFormat="1" applyFill="1" applyBorder="1" applyProtection="1">
      <protection locked="0"/>
    </xf>
    <xf numFmtId="0" fontId="1" fillId="7" borderId="1" xfId="0" applyFont="1" applyFill="1" applyBorder="1" applyProtection="1">
      <protection locked="0"/>
    </xf>
  </cellXfs>
  <cellStyles count="1">
    <cellStyle name="Normal" xfId="0" builtinId="0"/>
  </cellStyles>
  <dxfs count="14"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 patternType="solid"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22"/>
      </font>
      <fill>
        <patternFill>
          <bgColor indexed="22"/>
        </patternFill>
      </fill>
      <border>
        <left/>
        <right/>
        <top/>
        <bottom/>
      </border>
    </dxf>
    <dxf>
      <font>
        <b/>
        <i val="0"/>
        <condense val="0"/>
        <extend val="0"/>
        <color indexed="10"/>
      </font>
      <fill>
        <patternFill>
          <bgColor indexed="22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 patternType="none">
          <bgColor indexed="65"/>
        </patternFill>
      </fill>
    </dxf>
    <dxf>
      <font>
        <condense val="0"/>
        <extend val="0"/>
        <color indexed="22"/>
      </font>
      <fill>
        <patternFill patternType="solid">
          <bgColor indexed="22"/>
        </patternFill>
      </fill>
    </dxf>
    <dxf>
      <font>
        <condense val="0"/>
        <extend val="0"/>
        <color indexed="22"/>
      </font>
      <fill>
        <patternFill>
          <bgColor indexed="22"/>
        </patternFill>
      </fill>
    </dxf>
    <dxf>
      <font>
        <condense val="0"/>
        <extend val="0"/>
        <color indexed="22"/>
      </font>
      <fill>
        <patternFill>
          <bgColor indexed="22"/>
        </patternFill>
      </fill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7A541-E296-46B2-9729-10028D53AFFF}">
  <sheetPr codeName="Sheet1">
    <pageSetUpPr fitToPage="1"/>
  </sheetPr>
  <dimension ref="A1:T42"/>
  <sheetViews>
    <sheetView tabSelected="1" zoomScaleNormal="100" zoomScaleSheetLayoutView="100" workbookViewId="0">
      <selection activeCell="P17" sqref="P17"/>
    </sheetView>
  </sheetViews>
  <sheetFormatPr defaultRowHeight="12.75" x14ac:dyDescent="0.2"/>
  <cols>
    <col min="1" max="1" width="2.7109375" customWidth="1"/>
    <col min="2" max="2" width="27.5703125" bestFit="1" customWidth="1"/>
    <col min="9" max="9" width="2.140625" customWidth="1"/>
    <col min="11" max="11" width="12.140625" hidden="1" customWidth="1"/>
    <col min="12" max="15" width="9.140625" hidden="1" customWidth="1"/>
    <col min="16" max="16" width="31.5703125" customWidth="1"/>
  </cols>
  <sheetData>
    <row r="1" spans="1:20" x14ac:dyDescent="0.2">
      <c r="A1" s="37"/>
      <c r="B1" s="38"/>
      <c r="C1" s="38"/>
      <c r="D1" s="38"/>
      <c r="E1" s="38"/>
      <c r="F1" s="38"/>
      <c r="G1" s="38"/>
      <c r="H1" s="38"/>
      <c r="I1" s="39"/>
    </row>
    <row r="2" spans="1:20" x14ac:dyDescent="0.2">
      <c r="A2" s="40"/>
      <c r="B2" s="1" t="s">
        <v>2</v>
      </c>
      <c r="C2" s="58"/>
      <c r="D2" s="59"/>
      <c r="E2" s="59"/>
      <c r="F2" s="59"/>
      <c r="G2" s="59"/>
      <c r="H2" s="60"/>
      <c r="I2" s="43"/>
    </row>
    <row r="3" spans="1:20" x14ac:dyDescent="0.2">
      <c r="A3" s="40"/>
      <c r="B3" s="2" t="s">
        <v>3</v>
      </c>
      <c r="C3" s="61"/>
      <c r="D3" s="59"/>
      <c r="E3" s="60"/>
      <c r="F3" s="3" t="s">
        <v>4</v>
      </c>
      <c r="G3" s="62">
        <v>46023</v>
      </c>
      <c r="H3" s="63"/>
      <c r="I3" s="43"/>
    </row>
    <row r="4" spans="1:20" ht="25.5" customHeight="1" x14ac:dyDescent="0.2">
      <c r="A4" s="40"/>
      <c r="B4" s="42"/>
      <c r="C4" s="42"/>
      <c r="D4" s="42"/>
      <c r="E4" s="42"/>
      <c r="F4" s="42"/>
      <c r="G4" s="42"/>
      <c r="H4" s="42"/>
      <c r="I4" s="44"/>
      <c r="P4" s="55" t="s">
        <v>49</v>
      </c>
    </row>
    <row r="5" spans="1:20" x14ac:dyDescent="0.2">
      <c r="A5" s="40"/>
      <c r="B5" s="1" t="s">
        <v>37</v>
      </c>
      <c r="C5" s="3"/>
      <c r="D5" s="5" t="s">
        <v>1</v>
      </c>
      <c r="E5" s="1"/>
      <c r="F5" s="3"/>
      <c r="G5" s="5" t="s">
        <v>5</v>
      </c>
      <c r="H5" s="1"/>
      <c r="I5" s="44"/>
      <c r="L5" t="s">
        <v>24</v>
      </c>
      <c r="M5" t="s">
        <v>25</v>
      </c>
    </row>
    <row r="6" spans="1:20" x14ac:dyDescent="0.2">
      <c r="A6" s="40"/>
      <c r="B6" s="52">
        <v>5400</v>
      </c>
      <c r="C6" s="5" t="s">
        <v>6</v>
      </c>
      <c r="D6" s="5" t="s">
        <v>7</v>
      </c>
      <c r="E6" s="5" t="s">
        <v>8</v>
      </c>
      <c r="F6" s="5" t="s">
        <v>6</v>
      </c>
      <c r="G6" s="5" t="s">
        <v>7</v>
      </c>
      <c r="H6" s="5" t="s">
        <v>8</v>
      </c>
      <c r="I6" s="43"/>
      <c r="K6" t="s">
        <v>28</v>
      </c>
      <c r="L6">
        <v>7.1999999999999995E-2</v>
      </c>
      <c r="M6">
        <v>0.125</v>
      </c>
      <c r="O6">
        <v>4</v>
      </c>
    </row>
    <row r="7" spans="1:20" x14ac:dyDescent="0.2">
      <c r="A7" s="40"/>
      <c r="B7" s="6" t="s">
        <v>23</v>
      </c>
      <c r="C7" s="23">
        <v>8.3000000000000004E-2</v>
      </c>
      <c r="D7" s="3">
        <v>1</v>
      </c>
      <c r="E7" s="23">
        <f>C7*D7</f>
        <v>8.3000000000000004E-2</v>
      </c>
      <c r="F7" s="23">
        <f>IF($C34="on",$M8,IF($C34="dim",$M7,IF($C34="off",$M6,10)))</f>
        <v>0.125</v>
      </c>
      <c r="G7" s="3">
        <v>1</v>
      </c>
      <c r="H7" s="23">
        <f>F7*G7</f>
        <v>0.125</v>
      </c>
      <c r="I7" s="43"/>
      <c r="K7" t="s">
        <v>29</v>
      </c>
      <c r="L7">
        <v>8.2000000000000003E-2</v>
      </c>
      <c r="M7">
        <v>0.125</v>
      </c>
      <c r="O7">
        <v>24</v>
      </c>
    </row>
    <row r="8" spans="1:20" x14ac:dyDescent="0.2">
      <c r="A8" s="40"/>
      <c r="B8" s="6" t="s">
        <v>9</v>
      </c>
      <c r="C8" s="67">
        <v>0</v>
      </c>
      <c r="D8" s="3">
        <v>1.25</v>
      </c>
      <c r="E8" s="23">
        <f t="shared" ref="E8:E22" si="0">C8*D8</f>
        <v>0</v>
      </c>
      <c r="F8" s="67">
        <v>0</v>
      </c>
      <c r="G8" s="3">
        <v>1.25</v>
      </c>
      <c r="H8" s="23">
        <f t="shared" ref="H8:H25" si="1">F8*G8</f>
        <v>0</v>
      </c>
      <c r="I8" s="45"/>
      <c r="K8" t="s">
        <v>30</v>
      </c>
      <c r="L8">
        <v>0.10199999999999999</v>
      </c>
      <c r="M8">
        <v>0.125</v>
      </c>
      <c r="O8">
        <v>48</v>
      </c>
      <c r="P8" s="53"/>
      <c r="Q8" s="54"/>
      <c r="R8" s="54"/>
      <c r="S8" s="54"/>
      <c r="T8" s="54"/>
    </row>
    <row r="9" spans="1:20" x14ac:dyDescent="0.2">
      <c r="A9" s="40"/>
      <c r="B9" s="6" t="s">
        <v>10</v>
      </c>
      <c r="C9" s="23">
        <v>4.2000000000000003E-2</v>
      </c>
      <c r="D9" s="7">
        <v>1</v>
      </c>
      <c r="E9" s="23">
        <f t="shared" si="0"/>
        <v>4.2000000000000003E-2</v>
      </c>
      <c r="F9" s="23">
        <v>4.2000000000000003E-2</v>
      </c>
      <c r="G9" s="7">
        <f>D9</f>
        <v>1</v>
      </c>
      <c r="H9" s="23">
        <f t="shared" si="1"/>
        <v>4.2000000000000003E-2</v>
      </c>
      <c r="I9" s="46"/>
      <c r="O9">
        <v>72</v>
      </c>
    </row>
    <row r="10" spans="1:20" x14ac:dyDescent="0.2">
      <c r="A10" s="40"/>
      <c r="B10" s="6" t="s">
        <v>9</v>
      </c>
      <c r="C10" s="67">
        <v>0</v>
      </c>
      <c r="D10" s="7">
        <v>1.25</v>
      </c>
      <c r="E10" s="23">
        <f t="shared" si="0"/>
        <v>0</v>
      </c>
      <c r="F10" s="67">
        <v>0</v>
      </c>
      <c r="G10" s="7">
        <v>1.25</v>
      </c>
      <c r="H10" s="23">
        <f t="shared" si="1"/>
        <v>0</v>
      </c>
      <c r="I10" s="47"/>
      <c r="K10" t="s">
        <v>32</v>
      </c>
      <c r="L10">
        <v>0.02</v>
      </c>
      <c r="M10">
        <v>0.02</v>
      </c>
    </row>
    <row r="11" spans="1:20" x14ac:dyDescent="0.2">
      <c r="A11" s="40"/>
      <c r="B11" s="6" t="s">
        <v>11</v>
      </c>
      <c r="C11" s="23">
        <v>4.2000000000000003E-2</v>
      </c>
      <c r="D11" s="68">
        <v>0</v>
      </c>
      <c r="E11" s="23">
        <f t="shared" si="0"/>
        <v>0</v>
      </c>
      <c r="F11" s="23">
        <v>4.2000000000000003E-2</v>
      </c>
      <c r="G11" s="7">
        <f>D11</f>
        <v>0</v>
      </c>
      <c r="H11" s="23">
        <f t="shared" si="1"/>
        <v>0</v>
      </c>
      <c r="I11" s="47"/>
      <c r="K11" t="s">
        <v>31</v>
      </c>
      <c r="L11">
        <v>4.2999999999999997E-2</v>
      </c>
      <c r="M11">
        <v>4.2999999999999997E-2</v>
      </c>
    </row>
    <row r="12" spans="1:20" x14ac:dyDescent="0.2">
      <c r="A12" s="40"/>
      <c r="B12" s="6" t="s">
        <v>9</v>
      </c>
      <c r="C12" s="67">
        <v>0</v>
      </c>
      <c r="D12" s="7">
        <v>1.25</v>
      </c>
      <c r="E12" s="23">
        <f t="shared" si="0"/>
        <v>0</v>
      </c>
      <c r="F12" s="67">
        <v>0</v>
      </c>
      <c r="G12" s="7">
        <v>1.25</v>
      </c>
      <c r="H12" s="23">
        <f t="shared" si="1"/>
        <v>0</v>
      </c>
      <c r="I12" s="47"/>
      <c r="K12" t="s">
        <v>0</v>
      </c>
      <c r="L12">
        <v>0</v>
      </c>
      <c r="M12">
        <v>0</v>
      </c>
      <c r="O12" s="36">
        <v>5100</v>
      </c>
    </row>
    <row r="13" spans="1:20" x14ac:dyDescent="0.2">
      <c r="A13" s="40"/>
      <c r="B13" s="6" t="s">
        <v>12</v>
      </c>
      <c r="C13" s="23">
        <v>4.2000000000000003E-2</v>
      </c>
      <c r="D13" s="68">
        <v>0</v>
      </c>
      <c r="E13" s="23">
        <f t="shared" si="0"/>
        <v>0</v>
      </c>
      <c r="F13" s="23">
        <v>4.2000000000000003E-2</v>
      </c>
      <c r="G13" s="7">
        <f>D13</f>
        <v>0</v>
      </c>
      <c r="H13" s="23">
        <f t="shared" si="1"/>
        <v>0</v>
      </c>
      <c r="I13" s="47"/>
      <c r="O13" s="36">
        <v>5200</v>
      </c>
    </row>
    <row r="14" spans="1:20" x14ac:dyDescent="0.2">
      <c r="A14" s="40"/>
      <c r="B14" s="6" t="s">
        <v>9</v>
      </c>
      <c r="C14" s="67">
        <v>0</v>
      </c>
      <c r="D14" s="7">
        <v>1.25</v>
      </c>
      <c r="E14" s="23">
        <f t="shared" si="0"/>
        <v>0</v>
      </c>
      <c r="F14" s="67">
        <v>0</v>
      </c>
      <c r="G14" s="7">
        <v>1.25</v>
      </c>
      <c r="H14" s="23">
        <f t="shared" si="1"/>
        <v>0</v>
      </c>
      <c r="I14" s="47"/>
      <c r="K14" t="s">
        <v>33</v>
      </c>
      <c r="L14">
        <v>0</v>
      </c>
      <c r="M14">
        <v>0.03</v>
      </c>
      <c r="O14" s="36">
        <v>5400</v>
      </c>
    </row>
    <row r="15" spans="1:20" x14ac:dyDescent="0.2">
      <c r="A15" s="40"/>
      <c r="B15" s="6" t="s">
        <v>13</v>
      </c>
      <c r="C15" s="23">
        <v>4.2000000000000003E-2</v>
      </c>
      <c r="D15" s="68">
        <v>0</v>
      </c>
      <c r="E15" s="23">
        <f t="shared" si="0"/>
        <v>0</v>
      </c>
      <c r="F15" s="23">
        <v>4.2000000000000003E-2</v>
      </c>
      <c r="G15" s="7">
        <f t="shared" ref="G15:G20" si="2">D15</f>
        <v>0</v>
      </c>
      <c r="H15" s="23">
        <f t="shared" si="1"/>
        <v>0</v>
      </c>
      <c r="I15" s="47"/>
      <c r="K15" t="s">
        <v>34</v>
      </c>
      <c r="L15">
        <v>3.1E-2</v>
      </c>
      <c r="M15">
        <v>4.2999999999999997E-2</v>
      </c>
    </row>
    <row r="16" spans="1:20" x14ac:dyDescent="0.2">
      <c r="A16" s="40"/>
      <c r="B16" s="6" t="str">
        <f>IF($C35="MXP-509","MXP-509 Fault-Tolerant Network",IF($C35="MXP-503","MXP-503 Standard Network","NO NETWORK Card"))</f>
        <v>NO NETWORK Card</v>
      </c>
      <c r="C16" s="24">
        <f>IF($C35="MXP-509",$L11,IF($C35="MXP-503",$L10,$L12))</f>
        <v>0</v>
      </c>
      <c r="D16" s="7">
        <v>1</v>
      </c>
      <c r="E16" s="23">
        <f t="shared" si="0"/>
        <v>0</v>
      </c>
      <c r="F16" s="23">
        <f>IF($C35="MXP-509",$M11,IF($C35="MXP-503",$M10,$M12))</f>
        <v>0</v>
      </c>
      <c r="G16" s="7">
        <f t="shared" si="2"/>
        <v>1</v>
      </c>
      <c r="H16" s="23">
        <f t="shared" si="1"/>
        <v>0</v>
      </c>
      <c r="I16" s="47"/>
      <c r="K16" t="s">
        <v>0</v>
      </c>
      <c r="L16">
        <v>0</v>
      </c>
      <c r="M16">
        <v>0</v>
      </c>
    </row>
    <row r="17" spans="1:13" x14ac:dyDescent="0.2">
      <c r="A17" s="40"/>
      <c r="B17" s="6" t="str">
        <f>IF($C36="MXP-507","MXP-507 2-Way Relay Card",IF($C36="MXP-532","MXP-532 Routing / Protection I/F","NO PLUG-IN Card"))</f>
        <v>NO PLUG-IN Card</v>
      </c>
      <c r="C17" s="23">
        <f>IF($C36="MXP-507",$L14,IF($C36="MXP-532",$L15,$L16))</f>
        <v>0</v>
      </c>
      <c r="D17" s="7">
        <v>1</v>
      </c>
      <c r="E17" s="23">
        <f t="shared" si="0"/>
        <v>0</v>
      </c>
      <c r="F17" s="23">
        <f>IF($C36="MXP-507",$M14,IF($C36="MXP-532",$M15,$M16))</f>
        <v>0</v>
      </c>
      <c r="G17" s="7">
        <f t="shared" si="2"/>
        <v>1</v>
      </c>
      <c r="H17" s="23">
        <f t="shared" si="1"/>
        <v>0</v>
      </c>
      <c r="I17" s="47"/>
    </row>
    <row r="18" spans="1:13" x14ac:dyDescent="0.2">
      <c r="A18" s="40"/>
      <c r="B18" s="6" t="str">
        <f>IF($C37="NONE","NO LED INDICATOR Card","MXP-513-XXX LED INDICATOR Card")</f>
        <v>NO LED INDICATOR Card</v>
      </c>
      <c r="C18" s="23">
        <f>IF(C37="NONE",0,((C37/50)*L19))</f>
        <v>0</v>
      </c>
      <c r="D18" s="7">
        <v>1</v>
      </c>
      <c r="E18" s="23">
        <f t="shared" si="0"/>
        <v>0</v>
      </c>
      <c r="F18" s="23">
        <f>IF(C37="NONE",0,((C37/50)*M19))</f>
        <v>0</v>
      </c>
      <c r="G18" s="7">
        <f t="shared" si="2"/>
        <v>1</v>
      </c>
      <c r="H18" s="23">
        <f t="shared" si="1"/>
        <v>0</v>
      </c>
      <c r="I18" s="47"/>
    </row>
    <row r="19" spans="1:13" x14ac:dyDescent="0.2">
      <c r="A19" s="40"/>
      <c r="B19" s="6" t="str">
        <f>IF(C38="MXP-512","MXP-512 INTERNAL PRINTER","NO PRINTER")</f>
        <v>NO PRINTER</v>
      </c>
      <c r="C19" s="23">
        <f>IF(C38="NONE",0,L26)</f>
        <v>0</v>
      </c>
      <c r="D19" s="7">
        <v>1</v>
      </c>
      <c r="E19" s="23">
        <f t="shared" si="0"/>
        <v>0</v>
      </c>
      <c r="F19" s="23">
        <f>IF(C38="NONE",0,M26)</f>
        <v>0</v>
      </c>
      <c r="G19" s="7">
        <f t="shared" si="2"/>
        <v>1</v>
      </c>
      <c r="H19" s="23">
        <f t="shared" si="1"/>
        <v>0</v>
      </c>
      <c r="I19" s="47"/>
      <c r="K19">
        <v>50</v>
      </c>
      <c r="L19">
        <v>8.0000000000000002E-3</v>
      </c>
      <c r="M19">
        <v>0.03</v>
      </c>
    </row>
    <row r="20" spans="1:13" x14ac:dyDescent="0.2">
      <c r="A20" s="40"/>
      <c r="B20" s="6" t="str">
        <f>IF(C39="MXP-504","MXP-504 FAT I/F",IF(C39="MXP-504/508","MXP-504 FAT I/F + MXP-508 RELAY","NO FAT INTERFACE"))</f>
        <v>NO FAT INTERFACE</v>
      </c>
      <c r="C20" s="23">
        <f>IF(C39="MXP-504",L29,IF(C39="MXP-504/508",L30,L31))</f>
        <v>0</v>
      </c>
      <c r="D20" s="7">
        <v>1</v>
      </c>
      <c r="E20" s="23">
        <f t="shared" si="0"/>
        <v>0</v>
      </c>
      <c r="F20" s="23">
        <f>IF(C39="MXP-504",M29,IF(C39="MXP-504/508",M30,M31))</f>
        <v>0</v>
      </c>
      <c r="G20" s="7">
        <f t="shared" si="2"/>
        <v>1</v>
      </c>
      <c r="H20" s="23">
        <f t="shared" si="1"/>
        <v>0</v>
      </c>
      <c r="I20" s="47"/>
      <c r="K20">
        <v>100</v>
      </c>
      <c r="L20">
        <f>L19*2</f>
        <v>1.6E-2</v>
      </c>
      <c r="M20">
        <f>M19*2</f>
        <v>0.06</v>
      </c>
    </row>
    <row r="21" spans="1:13" x14ac:dyDescent="0.2">
      <c r="A21" s="40"/>
      <c r="B21" s="6" t="str">
        <f>IF(C39="NONE","","MXP-504 SUPPLY OUTPUT LOADS")</f>
        <v/>
      </c>
      <c r="C21" s="29">
        <v>0</v>
      </c>
      <c r="D21" s="3">
        <v>1</v>
      </c>
      <c r="E21" s="23">
        <f>IF(C39="none",0,C21*D21)</f>
        <v>0</v>
      </c>
      <c r="F21" s="29">
        <v>0</v>
      </c>
      <c r="G21" s="3">
        <v>1</v>
      </c>
      <c r="H21" s="23">
        <f>IF(C39="none",0,F21*G21)</f>
        <v>0</v>
      </c>
      <c r="I21" s="47"/>
      <c r="K21">
        <v>150</v>
      </c>
      <c r="L21">
        <f>L19*3</f>
        <v>2.4E-2</v>
      </c>
      <c r="M21">
        <f>M19*3</f>
        <v>0.09</v>
      </c>
    </row>
    <row r="22" spans="1:13" x14ac:dyDescent="0.2">
      <c r="A22" s="40"/>
      <c r="B22" s="6" t="s">
        <v>42</v>
      </c>
      <c r="C22" s="29">
        <v>0</v>
      </c>
      <c r="D22" s="3">
        <v>1</v>
      </c>
      <c r="E22" s="23">
        <f t="shared" si="0"/>
        <v>0</v>
      </c>
      <c r="F22" s="29">
        <v>0</v>
      </c>
      <c r="G22" s="3">
        <v>1</v>
      </c>
      <c r="H22" s="23">
        <f t="shared" si="1"/>
        <v>0</v>
      </c>
      <c r="I22" s="47"/>
      <c r="K22">
        <v>200</v>
      </c>
      <c r="L22">
        <f>L19*4</f>
        <v>3.2000000000000001E-2</v>
      </c>
      <c r="M22">
        <f>M19*4</f>
        <v>0.12</v>
      </c>
    </row>
    <row r="23" spans="1:13" x14ac:dyDescent="0.2">
      <c r="A23" s="40"/>
      <c r="B23" s="6"/>
      <c r="C23" s="16"/>
      <c r="D23" s="3"/>
      <c r="E23" s="16"/>
      <c r="F23" s="22"/>
      <c r="G23" s="17"/>
      <c r="H23" s="16"/>
      <c r="I23" s="47"/>
      <c r="K23">
        <v>250</v>
      </c>
      <c r="L23">
        <f>L19*5</f>
        <v>0.04</v>
      </c>
      <c r="M23">
        <f>M19*5</f>
        <v>0.15</v>
      </c>
    </row>
    <row r="24" spans="1:13" x14ac:dyDescent="0.2">
      <c r="A24" s="40"/>
      <c r="B24" s="6" t="s">
        <v>14</v>
      </c>
      <c r="C24" s="18"/>
      <c r="D24" s="4"/>
      <c r="E24" s="20"/>
      <c r="F24" s="19">
        <v>0</v>
      </c>
      <c r="G24" s="3">
        <v>1</v>
      </c>
      <c r="H24" s="23">
        <f t="shared" si="1"/>
        <v>0</v>
      </c>
      <c r="I24" s="47"/>
      <c r="K24" t="s">
        <v>0</v>
      </c>
      <c r="L24">
        <v>0</v>
      </c>
      <c r="M24">
        <v>0</v>
      </c>
    </row>
    <row r="25" spans="1:13" x14ac:dyDescent="0.2">
      <c r="A25" s="40"/>
      <c r="B25" s="6" t="s">
        <v>15</v>
      </c>
      <c r="C25" s="18"/>
      <c r="D25" s="4"/>
      <c r="E25" s="20"/>
      <c r="F25" s="19">
        <v>0</v>
      </c>
      <c r="G25" s="3">
        <v>1</v>
      </c>
      <c r="H25" s="23">
        <f t="shared" si="1"/>
        <v>0</v>
      </c>
      <c r="I25" s="47"/>
    </row>
    <row r="26" spans="1:13" x14ac:dyDescent="0.2">
      <c r="A26" s="40"/>
      <c r="B26" s="6" t="str">
        <f>IF(B6=5400,"Sounder Output C","")</f>
        <v>Sounder Output C</v>
      </c>
      <c r="C26" s="18"/>
      <c r="D26" s="4"/>
      <c r="E26" s="20"/>
      <c r="F26" s="19">
        <v>0</v>
      </c>
      <c r="G26" s="3">
        <v>1</v>
      </c>
      <c r="H26" s="23">
        <f>IF(B6&lt;&gt;5400,0,F26*G26)</f>
        <v>0</v>
      </c>
      <c r="I26" s="47"/>
      <c r="K26" t="s">
        <v>39</v>
      </c>
      <c r="L26">
        <v>1.2E-2</v>
      </c>
      <c r="M26">
        <v>0.27</v>
      </c>
    </row>
    <row r="27" spans="1:13" x14ac:dyDescent="0.2">
      <c r="A27" s="40"/>
      <c r="B27" s="6" t="str">
        <f>IF(B6=5400,"Sounder Output D","")</f>
        <v>Sounder Output D</v>
      </c>
      <c r="C27" s="18"/>
      <c r="D27" s="4"/>
      <c r="E27" s="21"/>
      <c r="F27" s="19">
        <v>0</v>
      </c>
      <c r="G27" s="3">
        <v>1</v>
      </c>
      <c r="H27" s="23">
        <f>IF(B6&lt;&gt;5400,0,F27*G27)</f>
        <v>0</v>
      </c>
      <c r="I27" s="47"/>
      <c r="K27" t="s">
        <v>0</v>
      </c>
      <c r="L27">
        <v>0</v>
      </c>
      <c r="M27">
        <v>0</v>
      </c>
    </row>
    <row r="28" spans="1:13" x14ac:dyDescent="0.2">
      <c r="A28" s="40"/>
      <c r="B28" s="31" t="s">
        <v>8</v>
      </c>
      <c r="C28" s="32" t="s">
        <v>48</v>
      </c>
      <c r="D28" s="33"/>
      <c r="E28" s="35">
        <f>SUM(E7:E22)</f>
        <v>0.125</v>
      </c>
      <c r="F28" s="32" t="s">
        <v>16</v>
      </c>
      <c r="G28" s="33"/>
      <c r="H28" s="34">
        <f>SUM(H7:H27)</f>
        <v>0.16700000000000001</v>
      </c>
      <c r="I28" s="47"/>
    </row>
    <row r="29" spans="1:13" x14ac:dyDescent="0.2">
      <c r="A29" s="40"/>
      <c r="B29" s="6" t="s">
        <v>17</v>
      </c>
      <c r="C29" s="28">
        <v>24</v>
      </c>
      <c r="D29" s="9" t="s">
        <v>18</v>
      </c>
      <c r="E29" s="27">
        <f>E28*C29</f>
        <v>3</v>
      </c>
      <c r="F29" s="10"/>
      <c r="G29" s="9" t="s">
        <v>19</v>
      </c>
      <c r="H29" s="25">
        <f>H28*2*0.5</f>
        <v>0.16700000000000001</v>
      </c>
      <c r="I29" s="47"/>
      <c r="K29" t="s">
        <v>40</v>
      </c>
      <c r="L29">
        <v>2.5000000000000001E-2</v>
      </c>
      <c r="M29">
        <v>3.4000000000000002E-2</v>
      </c>
    </row>
    <row r="30" spans="1:13" x14ac:dyDescent="0.2">
      <c r="A30" s="40"/>
      <c r="B30" s="42"/>
      <c r="C30" s="11"/>
      <c r="D30" s="8"/>
      <c r="E30" s="12"/>
      <c r="F30" s="13" t="s">
        <v>20</v>
      </c>
      <c r="G30" s="8"/>
      <c r="H30" s="26">
        <f>E29</f>
        <v>3</v>
      </c>
      <c r="I30" s="47"/>
      <c r="K30" t="s">
        <v>41</v>
      </c>
      <c r="L30">
        <v>2.5000000000000001E-2</v>
      </c>
      <c r="M30">
        <v>9.9000000000000005E-2</v>
      </c>
    </row>
    <row r="31" spans="1:13" x14ac:dyDescent="0.2">
      <c r="A31" s="40"/>
      <c r="B31" s="42"/>
      <c r="C31" s="11"/>
      <c r="D31" s="12"/>
      <c r="E31" s="12"/>
      <c r="F31" s="12"/>
      <c r="G31" s="14" t="s">
        <v>21</v>
      </c>
      <c r="H31" s="26">
        <f>SUM(H29:H30)</f>
        <v>3.1669999999999998</v>
      </c>
      <c r="I31" s="43"/>
      <c r="K31" t="s">
        <v>0</v>
      </c>
      <c r="L31">
        <v>0</v>
      </c>
      <c r="M31">
        <v>0</v>
      </c>
    </row>
    <row r="32" spans="1:13" x14ac:dyDescent="0.2">
      <c r="A32" s="40"/>
      <c r="B32" s="42"/>
      <c r="C32" s="15"/>
      <c r="D32" s="10"/>
      <c r="E32" s="10"/>
      <c r="F32" s="10"/>
      <c r="G32" s="9" t="s">
        <v>22</v>
      </c>
      <c r="H32" s="30">
        <f>H31*1.25</f>
        <v>3.9587499999999998</v>
      </c>
      <c r="I32" s="48"/>
    </row>
    <row r="33" spans="1:13" x14ac:dyDescent="0.2">
      <c r="A33" s="40"/>
      <c r="B33" s="42" t="s">
        <v>44</v>
      </c>
      <c r="C33" s="42"/>
      <c r="D33" s="42"/>
      <c r="E33" s="42"/>
      <c r="F33" s="42"/>
      <c r="G33" s="42"/>
      <c r="H33" s="42"/>
      <c r="I33" s="48"/>
      <c r="K33" t="s">
        <v>46</v>
      </c>
      <c r="L33">
        <v>2.9999999999999997E-4</v>
      </c>
      <c r="M33">
        <v>3.5000000000000001E-3</v>
      </c>
    </row>
    <row r="34" spans="1:13" x14ac:dyDescent="0.2">
      <c r="A34" s="40"/>
      <c r="B34" s="3" t="s">
        <v>27</v>
      </c>
      <c r="C34" s="64" t="s">
        <v>29</v>
      </c>
      <c r="D34" s="65"/>
      <c r="E34" s="42"/>
      <c r="F34" s="42"/>
      <c r="G34" s="42"/>
      <c r="H34" s="42"/>
      <c r="I34" s="48"/>
      <c r="K34" t="s">
        <v>47</v>
      </c>
      <c r="L34">
        <v>2.9999999999999997E-4</v>
      </c>
      <c r="M34">
        <v>8.2500000000000004E-3</v>
      </c>
    </row>
    <row r="35" spans="1:13" x14ac:dyDescent="0.2">
      <c r="A35" s="40"/>
      <c r="B35" s="3" t="s">
        <v>26</v>
      </c>
      <c r="C35" s="64" t="s">
        <v>0</v>
      </c>
      <c r="D35" s="65"/>
      <c r="E35" s="42"/>
      <c r="F35" s="42"/>
      <c r="G35" s="42"/>
      <c r="H35" s="42"/>
      <c r="I35" s="49"/>
    </row>
    <row r="36" spans="1:13" x14ac:dyDescent="0.2">
      <c r="A36" s="40"/>
      <c r="B36" s="3" t="s">
        <v>35</v>
      </c>
      <c r="C36" s="64" t="s">
        <v>0</v>
      </c>
      <c r="D36" s="65"/>
      <c r="E36" s="42" t="str">
        <f>IF(C36="NONE","","Alarm load figure is all O/P ON")</f>
        <v/>
      </c>
      <c r="F36" s="42"/>
      <c r="G36" s="42"/>
      <c r="H36" s="42"/>
      <c r="I36" s="43"/>
    </row>
    <row r="37" spans="1:13" x14ac:dyDescent="0.2">
      <c r="A37" s="40"/>
      <c r="B37" s="3" t="s">
        <v>36</v>
      </c>
      <c r="C37" s="64" t="s">
        <v>0</v>
      </c>
      <c r="D37" s="65"/>
      <c r="E37" s="42" t="str">
        <f>IF(C37="NONE","","Alarm load figure is all LED ON")</f>
        <v/>
      </c>
      <c r="F37" s="42"/>
      <c r="G37" s="42"/>
      <c r="H37" s="42"/>
      <c r="I37" s="43"/>
    </row>
    <row r="38" spans="1:13" x14ac:dyDescent="0.2">
      <c r="A38" s="40"/>
      <c r="B38" s="3" t="s">
        <v>38</v>
      </c>
      <c r="C38" s="64" t="s">
        <v>0</v>
      </c>
      <c r="D38" s="65"/>
      <c r="E38" s="42" t="str">
        <f>IF(C38="NONE","","Alarm load figure is PRINTING")</f>
        <v/>
      </c>
      <c r="F38" s="42"/>
      <c r="G38" s="42"/>
      <c r="H38" s="42"/>
      <c r="I38" s="43"/>
    </row>
    <row r="39" spans="1:13" x14ac:dyDescent="0.2">
      <c r="A39" s="40"/>
      <c r="B39" s="3" t="s">
        <v>45</v>
      </c>
      <c r="C39" s="64" t="s">
        <v>0</v>
      </c>
      <c r="D39" s="65"/>
      <c r="E39" s="42" t="str">
        <f>IF(C39="NONE","","Alarm load figure is all O/P ON")</f>
        <v/>
      </c>
      <c r="F39" s="42"/>
      <c r="G39" s="42"/>
      <c r="H39" s="42"/>
      <c r="I39" s="43"/>
    </row>
    <row r="40" spans="1:13" x14ac:dyDescent="0.2">
      <c r="A40" s="40"/>
      <c r="B40" s="42"/>
      <c r="C40" s="42"/>
      <c r="D40" s="42"/>
      <c r="E40" s="42" t="str">
        <f>IF(C39="NONE","","Add required FAT,FBF,Router AUX loads above")</f>
        <v/>
      </c>
      <c r="F40" s="42"/>
      <c r="G40" s="42"/>
      <c r="H40" s="42"/>
      <c r="I40" s="43"/>
    </row>
    <row r="41" spans="1:13" x14ac:dyDescent="0.2">
      <c r="A41" s="40"/>
      <c r="B41" s="3" t="s">
        <v>43</v>
      </c>
      <c r="C41" s="66" t="str">
        <f>IF(H32&gt;45.01,"NONE",IF(H32&gt;17.01,"DEEP",IF(H32&gt;12,"LARGE",IF(B6=5400,"LARGE",IF(H32&gt;7,"MEDIUM",IF(B6=5200,"MEDIUM",IF(C39&lt;&gt;"NONE","MEDIUM",IF(C38&lt;&gt;"NONE","MEDIUM","SMALL"))))))))</f>
        <v>LARGE</v>
      </c>
      <c r="D41" s="66"/>
      <c r="E41" s="56" t="str">
        <f>IF(C41="NONE","MAX BATTERY SIZE IS 45AH",IF(B6&lt;&gt;5100,"",IF(H32&gt;25,"MAX BATTERY SIZE IS 25AH","")))</f>
        <v/>
      </c>
      <c r="F41" s="57"/>
      <c r="G41" s="57"/>
      <c r="H41" s="42"/>
      <c r="I41" s="43"/>
    </row>
    <row r="42" spans="1:13" ht="13.5" thickBot="1" x14ac:dyDescent="0.25">
      <c r="A42" s="41"/>
      <c r="B42" s="51"/>
      <c r="C42" s="51"/>
      <c r="D42" s="51"/>
      <c r="E42" s="51"/>
      <c r="F42" s="51"/>
      <c r="G42" s="51"/>
      <c r="H42" s="51"/>
      <c r="I42" s="50"/>
    </row>
  </sheetData>
  <sheetProtection algorithmName="SHA-512" hashValue="dZRk49lSTM/o6UU5R3bPiIh5cnKyV4gFj3wbMCw3GDAWxriPqFFAYRVM8mpX0nFYq1ycBZdfEO9J9AC+oJ6VqQ==" saltValue="BXldbrcU67lkLghwxQAa6g==" spinCount="100000" sheet="1" objects="1" scenarios="1"/>
  <mergeCells count="11">
    <mergeCell ref="E41:G41"/>
    <mergeCell ref="C2:H2"/>
    <mergeCell ref="C3:E3"/>
    <mergeCell ref="G3:H3"/>
    <mergeCell ref="C37:D37"/>
    <mergeCell ref="C41:D41"/>
    <mergeCell ref="C34:D34"/>
    <mergeCell ref="C35:D35"/>
    <mergeCell ref="C36:D36"/>
    <mergeCell ref="C38:D38"/>
    <mergeCell ref="C39:D39"/>
  </mergeCells>
  <phoneticPr fontId="2" type="noConversion"/>
  <conditionalFormatting sqref="C41:D41">
    <cfRule type="cellIs" dxfId="13" priority="3" stopIfTrue="1" operator="equal">
      <formula>"NONE"</formula>
    </cfRule>
  </conditionalFormatting>
  <conditionalFormatting sqref="C10:G15">
    <cfRule type="expression" dxfId="12" priority="7" stopIfTrue="1">
      <formula>$B$6=5100</formula>
    </cfRule>
  </conditionalFormatting>
  <conditionalFormatting sqref="C12:G15">
    <cfRule type="expression" dxfId="11" priority="9" stopIfTrue="1">
      <formula>$B$6=5200</formula>
    </cfRule>
  </conditionalFormatting>
  <conditionalFormatting sqref="C21:G21">
    <cfRule type="expression" dxfId="10" priority="1" stopIfTrue="1">
      <formula>$B$21=""</formula>
    </cfRule>
  </conditionalFormatting>
  <conditionalFormatting sqref="E28">
    <cfRule type="cellIs" dxfId="9" priority="14" stopIfTrue="1" operator="lessThanOrEqual">
      <formula>1.6</formula>
    </cfRule>
    <cfRule type="expression" dxfId="8" priority="15" stopIfTrue="1">
      <formula>$B$6=5100</formula>
    </cfRule>
    <cfRule type="cellIs" dxfId="7" priority="16" stopIfTrue="1" operator="greaterThan">
      <formula>2.601</formula>
    </cfRule>
  </conditionalFormatting>
  <conditionalFormatting sqref="E41:G41">
    <cfRule type="cellIs" dxfId="6" priority="10" stopIfTrue="1" operator="notEqual">
      <formula>""</formula>
    </cfRule>
  </conditionalFormatting>
  <conditionalFormatting sqref="F26:G27">
    <cfRule type="expression" dxfId="5" priority="2" stopIfTrue="1">
      <formula>$B$26=""</formula>
    </cfRule>
  </conditionalFormatting>
  <conditionalFormatting sqref="H28">
    <cfRule type="cellIs" priority="4" stopIfTrue="1" operator="lessThanOrEqual">
      <formula>3</formula>
    </cfRule>
    <cfRule type="expression" dxfId="4" priority="5" stopIfTrue="1">
      <formula>$B$6="5100"</formula>
    </cfRule>
    <cfRule type="cellIs" dxfId="3" priority="6" stopIfTrue="1" operator="greaterThan">
      <formula>5.001</formula>
    </cfRule>
  </conditionalFormatting>
  <conditionalFormatting sqref="H32">
    <cfRule type="cellIs" dxfId="2" priority="11" stopIfTrue="1" operator="lessThanOrEqual">
      <formula>25</formula>
    </cfRule>
    <cfRule type="expression" dxfId="1" priority="12" stopIfTrue="1">
      <formula>$B$6=5100</formula>
    </cfRule>
    <cfRule type="cellIs" dxfId="0" priority="13" stopIfTrue="1" operator="greaterThan">
      <formula>45.01</formula>
    </cfRule>
  </conditionalFormatting>
  <dataValidations xWindow="823" yWindow="246" count="16">
    <dataValidation type="list" allowBlank="1" showInputMessage="1" showErrorMessage="1" sqref="C34:D34" xr:uid="{57DFF837-BB86-4F65-92FD-9B79A9616703}">
      <formula1>$K$6:$K$8</formula1>
    </dataValidation>
    <dataValidation type="list" allowBlank="1" showInputMessage="1" showErrorMessage="1" sqref="C35" xr:uid="{6050762E-016D-41C0-9F2D-4076CED1D4FC}">
      <formula1>$K$10:$K$12</formula1>
    </dataValidation>
    <dataValidation type="list" allowBlank="1" showInputMessage="1" showErrorMessage="1" sqref="C36" xr:uid="{4744DDE6-E8D2-4954-9235-7BFCE1FFFA06}">
      <formula1>$K$14:$K$16</formula1>
    </dataValidation>
    <dataValidation type="list" allowBlank="1" showInputMessage="1" showErrorMessage="1" sqref="C37" xr:uid="{B429FC63-F5C3-4AAA-A87E-A1B073F8CE08}">
      <formula1>$K$19:$K$24</formula1>
    </dataValidation>
    <dataValidation type="list" allowBlank="1" showInputMessage="1" showErrorMessage="1" sqref="C38" xr:uid="{F156BCC4-253E-4C12-A9A2-69DF6E60625D}">
      <formula1>$K$26:$K$27</formula1>
    </dataValidation>
    <dataValidation type="list" allowBlank="1" showInputMessage="1" showErrorMessage="1" sqref="C39" xr:uid="{899268A6-D9CB-4FC0-BCF2-F36E73D39D49}">
      <formula1>$K$29:$K$31</formula1>
    </dataValidation>
    <dataValidation type="decimal" allowBlank="1" showInputMessage="1" showErrorMessage="1" errorTitle="SOUNDER LOAD" error="Range is 0 to 1.0A" promptTitle="SOUNDER LOAD" prompt="Range: 0 to 1A" sqref="F24:F27" xr:uid="{DEE734CB-81E9-4885-B50B-689CB7E9DCA9}">
      <formula1>0</formula1>
      <formula2>1</formula2>
    </dataValidation>
    <dataValidation type="decimal" allowBlank="1" showInputMessage="1" showErrorMessage="1" errorTitle="AUX LOAD" error="Range is 0 to 0.5A" promptTitle="PANEL AUX LOAD" prompt="Enter alarm load supplied from Panel AUX" sqref="F22" xr:uid="{F00F10F9-188D-4167-A6CD-D061166E2E36}">
      <formula1>0</formula1>
      <formula2>0.5</formula2>
    </dataValidation>
    <dataValidation type="list" allowBlank="1" showInputMessage="1" showErrorMessage="1" sqref="C29" xr:uid="{92A6795D-2CCE-4F7F-9FFE-645763399A00}">
      <formula1>$O$6:$O$9</formula1>
    </dataValidation>
    <dataValidation type="decimal" allowBlank="1" showInputMessage="1" showErrorMessage="1" errorTitle="AUX LOAD" error="Range is 0 to 0.5A" promptTitle="AUX LOAD" prompt="Enter quiescent load taken by FAT and Routers" sqref="C21" xr:uid="{8976DBDF-A383-46A1-A91F-632C5EA07BAB}">
      <formula1>0</formula1>
      <formula2>0.5</formula2>
    </dataValidation>
    <dataValidation type="decimal" allowBlank="1" showInputMessage="1" showErrorMessage="1" errorTitle="AUX LOAD" error="Range is 0 to 0.5A" promptTitle="AUX LOAD" prompt="Enter alarm load taken by FAT and Routers" sqref="F21" xr:uid="{718496B0-477F-497E-AE97-04AF38BC0049}">
      <formula1>0</formula1>
      <formula2>0.5</formula2>
    </dataValidation>
    <dataValidation type="decimal" allowBlank="1" showInputMessage="1" showErrorMessage="1" errorTitle="AUX LOAD MAXIMUM" error="Range is 0 to 0.5A" promptTitle="PANEL AUX LOAD" prompt="Enter quiescent load supplied from Panel AUX" sqref="C22" xr:uid="{FD7694E3-5F5C-4C31-AFDE-D93E83FF3584}">
      <formula1>0</formula1>
      <formula2>0.5</formula2>
    </dataValidation>
    <dataValidation type="list" allowBlank="1" showInputMessage="1" showErrorMessage="1" promptTitle="PANEL TYPE" prompt="Select the required panel type" sqref="B6" xr:uid="{343EF020-5158-4571-B6F3-B5DC9B789399}">
      <formula1>$O$12:$O$14</formula1>
    </dataValidation>
    <dataValidation allowBlank="1" showInputMessage="1" showErrorMessage="1" promptTitle="PROJECT" prompt="Enter the name of the project / building to which this design applies" sqref="C2:H2" xr:uid="{330F0498-8DD5-4435-A99A-DACC18C900E2}"/>
    <dataValidation allowBlank="1" showInputMessage="1" showErrorMessage="1" promptTitle="YOUR NAME" prompt="Enter your name" sqref="C3:E3" xr:uid="{0BFEE11F-5F64-4590-989A-D0F5CCEFC3D8}"/>
    <dataValidation operator="equal" allowBlank="1" showInputMessage="1" showErrorMessage="1" promptTitle="DATE" prompt="Enter date in dd/mm/yyyy format" sqref="G3:H3" xr:uid="{D06A2F6C-2D84-47B4-9CE2-F8A1E77CFBCE}"/>
  </dataValidations>
  <pageMargins left="0.75" right="0.75" top="1" bottom="1" header="0.5" footer="0.5"/>
  <pageSetup paperSize="9" scale="76" fitToHeight="0" orientation="landscape" horizontalDpi="4294967293" r:id="rId1"/>
  <headerFooter alignWithMargins="0"/>
  <ignoredErrors>
    <ignoredError sqref="E21 H21" formula="1"/>
  </ignoredErrors>
</worksheet>
</file>

<file path=docMetadata/LabelInfo.xml><?xml version="1.0" encoding="utf-8"?>
<clbl:labelList xmlns:clbl="http://schemas.microsoft.com/office/2020/mipLabelMetadata">
  <clbl:label id="{7b6f9e29-640b-438e-82e2-995285e96dd4}" enabled="1" method="Standard" siteId="{078256a4-c4a0-4e95-b107-2ae7d5db858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AxisEN</vt:lpstr>
      <vt:lpstr>AxisEN!Print_Area</vt:lpstr>
    </vt:vector>
  </TitlesOfParts>
  <Company>Advanced Electronics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Wilson</dc:creator>
  <cp:lastModifiedBy>Laura Carter</cp:lastModifiedBy>
  <cp:lastPrinted>2010-05-17T16:14:30Z</cp:lastPrinted>
  <dcterms:created xsi:type="dcterms:W3CDTF">2010-04-07T10:28:37Z</dcterms:created>
  <dcterms:modified xsi:type="dcterms:W3CDTF">2026-03-16T13:28:41Z</dcterms:modified>
</cp:coreProperties>
</file>