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Mx-5000" sheetId="1" r:id="rId1"/>
  </sheets>
  <definedNames>
    <definedName name="Apollo">#REF!</definedName>
    <definedName name="Device">#REF!</definedName>
    <definedName name="NBRLED">'Mx-5000'!#REF!</definedName>
    <definedName name="_xlnm.Print_Area" localSheetId="0">'Mx-5000'!$A$1:$I$42</definedName>
  </definedNames>
  <calcPr fullCalcOnLoad="1"/>
</workbook>
</file>

<file path=xl/sharedStrings.xml><?xml version="1.0" encoding="utf-8"?>
<sst xmlns="http://schemas.openxmlformats.org/spreadsheetml/2006/main" count="67" uniqueCount="50">
  <si>
    <t>NONE</t>
  </si>
  <si>
    <t>Quiescent Load</t>
  </si>
  <si>
    <t>Project</t>
  </si>
  <si>
    <t>Completed by</t>
  </si>
  <si>
    <t>Date</t>
  </si>
  <si>
    <t>Fire Alarm Load</t>
  </si>
  <si>
    <t>I(A)</t>
  </si>
  <si>
    <t>X</t>
  </si>
  <si>
    <t>Total</t>
  </si>
  <si>
    <t>Sensor  / Loop Current*</t>
  </si>
  <si>
    <r>
      <t xml:space="preserve">Loop Driver </t>
    </r>
    <r>
      <rPr>
        <b/>
        <i/>
        <sz val="8"/>
        <rFont val="Arial"/>
        <family val="2"/>
      </rPr>
      <t>Loop 1</t>
    </r>
  </si>
  <si>
    <r>
      <t xml:space="preserve">Loop Driver </t>
    </r>
    <r>
      <rPr>
        <b/>
        <i/>
        <sz val="8"/>
        <rFont val="Arial"/>
        <family val="2"/>
      </rPr>
      <t>Loop 2</t>
    </r>
  </si>
  <si>
    <r>
      <t xml:space="preserve">Loop Driver </t>
    </r>
    <r>
      <rPr>
        <b/>
        <i/>
        <sz val="8"/>
        <rFont val="Arial"/>
        <family val="2"/>
      </rPr>
      <t>Loop 3</t>
    </r>
  </si>
  <si>
    <r>
      <t xml:space="preserve">Loop Driver </t>
    </r>
    <r>
      <rPr>
        <b/>
        <i/>
        <sz val="8"/>
        <rFont val="Arial"/>
        <family val="2"/>
      </rPr>
      <t>Loop 4</t>
    </r>
  </si>
  <si>
    <t>Sounder Output A</t>
  </si>
  <si>
    <t>Sounder Output B</t>
  </si>
  <si>
    <t>ΣAlarm Load</t>
  </si>
  <si>
    <t xml:space="preserve">Standby Duration (hours) = </t>
  </si>
  <si>
    <t>Hr</t>
  </si>
  <si>
    <t>X(2 x 0.5) =</t>
  </si>
  <si>
    <t>→ (carry forward) +</t>
  </si>
  <si>
    <t>Total Load (Quiescent + Alarm) =</t>
  </si>
  <si>
    <t>X 1.25 (Battery De-rating factor)** =</t>
  </si>
  <si>
    <t>Chassis</t>
  </si>
  <si>
    <t>Q</t>
  </si>
  <si>
    <t>A</t>
  </si>
  <si>
    <t>NETWORK</t>
  </si>
  <si>
    <t>LCD DIMMING MODE</t>
  </si>
  <si>
    <t>OFF</t>
  </si>
  <si>
    <t>DIM</t>
  </si>
  <si>
    <t>ON</t>
  </si>
  <si>
    <t>MXP-509</t>
  </si>
  <si>
    <t>MXP-503</t>
  </si>
  <si>
    <t>MXP-507</t>
  </si>
  <si>
    <t>MXP-532</t>
  </si>
  <si>
    <t>ROUTING / RELAY CARDS</t>
  </si>
  <si>
    <t>LED CARDS - NBR OF LEDS</t>
  </si>
  <si>
    <t>PANEL</t>
  </si>
  <si>
    <t>PRINTER</t>
  </si>
  <si>
    <t>MXP-512</t>
  </si>
  <si>
    <t>MXP-504</t>
  </si>
  <si>
    <t>MXP-504/508</t>
  </si>
  <si>
    <t>ANCILLARY SUPPLY OUTPUT (AUX)</t>
  </si>
  <si>
    <t>MINIMUM ENCLOSURE</t>
  </si>
  <si>
    <t>OPTIONS:</t>
  </si>
  <si>
    <t>FAT/FBF/FSD/ÜE INTERFACE</t>
  </si>
  <si>
    <t>SND 85dB</t>
  </si>
  <si>
    <t>SND 90dB</t>
  </si>
  <si>
    <t>ΣQuiescent Load</t>
  </si>
  <si>
    <t>Take load calculated from loop Calc Tool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</si>
</sst>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[$-809]dd\ mmmm\ yyyy"/>
    <numFmt numFmtId="166" formatCode="[$-F800]dddd\,\ mmmm\ dd\,\ yyyy"/>
    <numFmt numFmtId="167" formatCode="0.000"/>
    <numFmt numFmtId="168" formatCode="0.00000"/>
    <numFmt numFmtId="169" formatCode="0.0"/>
    <numFmt numFmtId="170" formatCode="0.0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4" borderId="12" xfId="0" applyNumberFormat="1" applyFill="1" applyBorder="1" applyAlignment="1" applyProtection="1">
      <alignment/>
      <protection locked="0"/>
    </xf>
    <xf numFmtId="164" fontId="0" fillId="33" borderId="18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Border="1" applyAlignment="1" applyProtection="1">
      <alignment/>
      <protection/>
    </xf>
    <xf numFmtId="167" fontId="0" fillId="0" borderId="13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5" fillId="34" borderId="10" xfId="0" applyFont="1" applyFill="1" applyBorder="1" applyAlignment="1" applyProtection="1">
      <alignment/>
      <protection locked="0"/>
    </xf>
    <xf numFmtId="167" fontId="0" fillId="34" borderId="10" xfId="0" applyNumberFormat="1" applyFill="1" applyBorder="1" applyAlignment="1" applyProtection="1">
      <alignment/>
      <protection locked="0"/>
    </xf>
    <xf numFmtId="2" fontId="2" fillId="35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Alignment="1">
      <alignment/>
    </xf>
    <xf numFmtId="0" fontId="0" fillId="36" borderId="24" xfId="0" applyFill="1" applyBorder="1" applyAlignment="1" applyProtection="1">
      <alignment/>
      <protection locked="0"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164" fontId="0" fillId="36" borderId="24" xfId="0" applyNumberFormat="1" applyFill="1" applyBorder="1" applyAlignment="1">
      <alignment/>
    </xf>
    <xf numFmtId="0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/>
    </xf>
    <xf numFmtId="2" fontId="2" fillId="36" borderId="24" xfId="0" applyNumberFormat="1" applyFont="1" applyFill="1" applyBorder="1" applyAlignment="1">
      <alignment horizontal="right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49" fontId="2" fillId="34" borderId="10" xfId="0" applyNumberFormat="1" applyFont="1" applyFill="1" applyBorder="1" applyAlignment="1" applyProtection="1">
      <alignment/>
      <protection locked="0"/>
    </xf>
    <xf numFmtId="167" fontId="0" fillId="37" borderId="10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7" borderId="0" xfId="0" applyFont="1" applyFill="1" applyAlignment="1">
      <alignment wrapText="1"/>
    </xf>
    <xf numFmtId="0" fontId="0" fillId="38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36" borderId="27" xfId="0" applyFill="1" applyBorder="1" applyAlignment="1">
      <alignment/>
    </xf>
    <xf numFmtId="0" fontId="0" fillId="0" borderId="0" xfId="0" applyAlignment="1">
      <alignment/>
    </xf>
    <xf numFmtId="0" fontId="2" fillId="34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166" fontId="0" fillId="34" borderId="15" xfId="0" applyNumberFormat="1" applyFill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solid">
          <bgColor indexed="11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2.7109375" style="0" customWidth="1"/>
    <col min="2" max="2" width="27.57421875" style="0" bestFit="1" customWidth="1"/>
    <col min="9" max="9" width="2.140625" style="0" customWidth="1"/>
    <col min="11" max="11" width="12.140625" style="0" hidden="1" customWidth="1"/>
    <col min="12" max="15" width="9.140625" style="0" hidden="1" customWidth="1"/>
    <col min="16" max="16" width="31.57421875" style="0" customWidth="1"/>
  </cols>
  <sheetData>
    <row r="1" spans="1:9" ht="12.75">
      <c r="A1" s="46"/>
      <c r="B1" s="47"/>
      <c r="C1" s="47"/>
      <c r="D1" s="47"/>
      <c r="E1" s="47"/>
      <c r="F1" s="47"/>
      <c r="G1" s="47"/>
      <c r="H1" s="47"/>
      <c r="I1" s="48"/>
    </row>
    <row r="2" spans="1:9" ht="12.75">
      <c r="A2" s="49"/>
      <c r="B2" s="1" t="s">
        <v>2</v>
      </c>
      <c r="C2" s="74"/>
      <c r="D2" s="75"/>
      <c r="E2" s="75"/>
      <c r="F2" s="75"/>
      <c r="G2" s="75"/>
      <c r="H2" s="76"/>
      <c r="I2" s="52"/>
    </row>
    <row r="3" spans="1:9" ht="12.75">
      <c r="A3" s="49"/>
      <c r="B3" s="2" t="s">
        <v>3</v>
      </c>
      <c r="C3" s="77"/>
      <c r="D3" s="75"/>
      <c r="E3" s="76"/>
      <c r="F3" s="3" t="s">
        <v>4</v>
      </c>
      <c r="G3" s="78">
        <v>43101</v>
      </c>
      <c r="H3" s="79"/>
      <c r="I3" s="52"/>
    </row>
    <row r="4" spans="1:16" ht="25.5" customHeight="1">
      <c r="A4" s="49"/>
      <c r="B4" s="53"/>
      <c r="C4" s="53"/>
      <c r="D4" s="53"/>
      <c r="E4" s="53"/>
      <c r="F4" s="53"/>
      <c r="G4" s="53"/>
      <c r="H4" s="53"/>
      <c r="I4" s="54"/>
      <c r="P4" s="68" t="s">
        <v>49</v>
      </c>
    </row>
    <row r="5" spans="1:13" ht="12.75">
      <c r="A5" s="49"/>
      <c r="B5" s="25" t="s">
        <v>37</v>
      </c>
      <c r="C5" s="3"/>
      <c r="D5" s="5" t="s">
        <v>1</v>
      </c>
      <c r="E5" s="1"/>
      <c r="F5" s="3"/>
      <c r="G5" s="5" t="s">
        <v>5</v>
      </c>
      <c r="H5" s="1"/>
      <c r="I5" s="54"/>
      <c r="L5" t="s">
        <v>24</v>
      </c>
      <c r="M5" t="s">
        <v>25</v>
      </c>
    </row>
    <row r="6" spans="1:15" ht="12.75">
      <c r="A6" s="49"/>
      <c r="B6" s="64">
        <v>5400</v>
      </c>
      <c r="C6" s="5" t="s">
        <v>6</v>
      </c>
      <c r="D6" s="5" t="s">
        <v>7</v>
      </c>
      <c r="E6" s="5" t="s">
        <v>8</v>
      </c>
      <c r="F6" s="5" t="s">
        <v>6</v>
      </c>
      <c r="G6" s="5" t="s">
        <v>7</v>
      </c>
      <c r="H6" s="5" t="s">
        <v>8</v>
      </c>
      <c r="I6" s="52"/>
      <c r="K6" t="s">
        <v>28</v>
      </c>
      <c r="L6">
        <v>0.072</v>
      </c>
      <c r="M6">
        <v>0.125</v>
      </c>
      <c r="O6">
        <v>4</v>
      </c>
    </row>
    <row r="7" spans="1:15" ht="12.75">
      <c r="A7" s="49"/>
      <c r="B7" s="6" t="s">
        <v>23</v>
      </c>
      <c r="C7" s="31">
        <v>0.072</v>
      </c>
      <c r="D7" s="27">
        <v>1</v>
      </c>
      <c r="E7" s="31">
        <f>C7*D7</f>
        <v>0.072</v>
      </c>
      <c r="F7" s="31">
        <f>IF($C34="on",$M8,IF($C34="dim",$M7,IF($C34="off",$M6,10)))</f>
        <v>0.125</v>
      </c>
      <c r="G7" s="30">
        <v>1</v>
      </c>
      <c r="H7" s="33">
        <f>F7*G7</f>
        <v>0.125</v>
      </c>
      <c r="I7" s="52"/>
      <c r="K7" t="s">
        <v>29</v>
      </c>
      <c r="L7">
        <v>0.082</v>
      </c>
      <c r="M7">
        <v>0.125</v>
      </c>
      <c r="O7">
        <v>24</v>
      </c>
    </row>
    <row r="8" spans="1:20" ht="12.75">
      <c r="A8" s="49"/>
      <c r="B8" s="6" t="s">
        <v>9</v>
      </c>
      <c r="C8" s="65">
        <v>0</v>
      </c>
      <c r="D8" s="27">
        <v>1.25</v>
      </c>
      <c r="E8" s="31">
        <f aca="true" t="shared" si="0" ref="E8:E22">C8*D8</f>
        <v>0</v>
      </c>
      <c r="F8" s="65">
        <v>0</v>
      </c>
      <c r="G8" s="30">
        <v>1.25</v>
      </c>
      <c r="H8" s="33">
        <f aca="true" t="shared" si="1" ref="H8:H25">F8*G8</f>
        <v>0</v>
      </c>
      <c r="I8" s="55"/>
      <c r="K8" t="s">
        <v>30</v>
      </c>
      <c r="L8">
        <v>0.102</v>
      </c>
      <c r="M8">
        <v>0.125</v>
      </c>
      <c r="O8">
        <v>48</v>
      </c>
      <c r="P8" s="66"/>
      <c r="Q8" s="67"/>
      <c r="R8" s="67"/>
      <c r="S8" s="67"/>
      <c r="T8" s="67"/>
    </row>
    <row r="9" spans="1:15" ht="12.75">
      <c r="A9" s="49"/>
      <c r="B9" s="6" t="s">
        <v>10</v>
      </c>
      <c r="C9" s="31">
        <v>0.042</v>
      </c>
      <c r="D9" s="20">
        <v>1</v>
      </c>
      <c r="E9" s="31">
        <f t="shared" si="0"/>
        <v>0.042</v>
      </c>
      <c r="F9" s="31">
        <v>0.042</v>
      </c>
      <c r="G9" s="20">
        <f>D9</f>
        <v>1</v>
      </c>
      <c r="H9" s="33">
        <f t="shared" si="1"/>
        <v>0.042</v>
      </c>
      <c r="I9" s="56"/>
      <c r="O9">
        <v>72</v>
      </c>
    </row>
    <row r="10" spans="1:13" ht="12.75">
      <c r="A10" s="49"/>
      <c r="B10" s="6" t="s">
        <v>9</v>
      </c>
      <c r="C10" s="65">
        <v>0</v>
      </c>
      <c r="D10" s="20">
        <v>1.25</v>
      </c>
      <c r="E10" s="31">
        <f t="shared" si="0"/>
        <v>0</v>
      </c>
      <c r="F10" s="65">
        <v>0</v>
      </c>
      <c r="G10" s="7">
        <v>1.25</v>
      </c>
      <c r="H10" s="33">
        <f t="shared" si="1"/>
        <v>0</v>
      </c>
      <c r="I10" s="57"/>
      <c r="K10" t="s">
        <v>32</v>
      </c>
      <c r="L10">
        <v>0.02</v>
      </c>
      <c r="M10">
        <v>0.02</v>
      </c>
    </row>
    <row r="11" spans="1:13" ht="12.75">
      <c r="A11" s="49"/>
      <c r="B11" s="6" t="s">
        <v>11</v>
      </c>
      <c r="C11" s="31">
        <v>0.042</v>
      </c>
      <c r="D11" s="69">
        <v>0</v>
      </c>
      <c r="E11" s="31">
        <f t="shared" si="0"/>
        <v>0</v>
      </c>
      <c r="F11" s="31">
        <v>0.042</v>
      </c>
      <c r="G11" s="20">
        <f>D11</f>
        <v>0</v>
      </c>
      <c r="H11" s="33">
        <f t="shared" si="1"/>
        <v>0</v>
      </c>
      <c r="I11" s="57"/>
      <c r="K11" t="s">
        <v>31</v>
      </c>
      <c r="L11">
        <v>0.061</v>
      </c>
      <c r="M11">
        <v>0.061</v>
      </c>
    </row>
    <row r="12" spans="1:15" ht="12.75">
      <c r="A12" s="49"/>
      <c r="B12" s="6" t="s">
        <v>9</v>
      </c>
      <c r="C12" s="65">
        <v>0</v>
      </c>
      <c r="D12" s="20">
        <v>1.25</v>
      </c>
      <c r="E12" s="31">
        <f t="shared" si="0"/>
        <v>0</v>
      </c>
      <c r="F12" s="65">
        <v>0</v>
      </c>
      <c r="G12" s="7">
        <v>1.25</v>
      </c>
      <c r="H12" s="33">
        <f t="shared" si="1"/>
        <v>0</v>
      </c>
      <c r="I12" s="57"/>
      <c r="K12" t="s">
        <v>0</v>
      </c>
      <c r="L12">
        <v>0</v>
      </c>
      <c r="M12">
        <v>0</v>
      </c>
      <c r="O12" s="45">
        <v>5100</v>
      </c>
    </row>
    <row r="13" spans="1:15" ht="12.75">
      <c r="A13" s="49"/>
      <c r="B13" s="6" t="s">
        <v>12</v>
      </c>
      <c r="C13" s="31">
        <v>0.042</v>
      </c>
      <c r="D13" s="69">
        <v>0</v>
      </c>
      <c r="E13" s="31">
        <f t="shared" si="0"/>
        <v>0</v>
      </c>
      <c r="F13" s="31">
        <v>0.042</v>
      </c>
      <c r="G13" s="7">
        <f>D13</f>
        <v>0</v>
      </c>
      <c r="H13" s="33">
        <f t="shared" si="1"/>
        <v>0</v>
      </c>
      <c r="I13" s="57"/>
      <c r="O13" s="45">
        <v>5200</v>
      </c>
    </row>
    <row r="14" spans="1:15" ht="12.75">
      <c r="A14" s="49"/>
      <c r="B14" s="6" t="s">
        <v>9</v>
      </c>
      <c r="C14" s="65">
        <v>0</v>
      </c>
      <c r="D14" s="20">
        <v>1.25</v>
      </c>
      <c r="E14" s="31">
        <f t="shared" si="0"/>
        <v>0</v>
      </c>
      <c r="F14" s="65">
        <v>0</v>
      </c>
      <c r="G14" s="7">
        <v>1.25</v>
      </c>
      <c r="H14" s="33">
        <f t="shared" si="1"/>
        <v>0</v>
      </c>
      <c r="I14" s="57"/>
      <c r="K14" t="s">
        <v>33</v>
      </c>
      <c r="L14">
        <v>0</v>
      </c>
      <c r="M14">
        <v>0.03</v>
      </c>
      <c r="O14" s="45">
        <v>5400</v>
      </c>
    </row>
    <row r="15" spans="1:13" ht="12.75">
      <c r="A15" s="49"/>
      <c r="B15" s="6" t="s">
        <v>13</v>
      </c>
      <c r="C15" s="31">
        <v>0.042</v>
      </c>
      <c r="D15" s="69">
        <v>0</v>
      </c>
      <c r="E15" s="31">
        <f t="shared" si="0"/>
        <v>0</v>
      </c>
      <c r="F15" s="31">
        <v>0.042</v>
      </c>
      <c r="G15" s="7">
        <f aca="true" t="shared" si="2" ref="G15:G20">D15</f>
        <v>0</v>
      </c>
      <c r="H15" s="33">
        <f t="shared" si="1"/>
        <v>0</v>
      </c>
      <c r="I15" s="57"/>
      <c r="K15" t="s">
        <v>34</v>
      </c>
      <c r="L15">
        <v>0.031</v>
      </c>
      <c r="M15">
        <v>0.043</v>
      </c>
    </row>
    <row r="16" spans="1:13" ht="12.75">
      <c r="A16" s="49"/>
      <c r="B16" s="6" t="str">
        <f>IF($C35="MXP-509","MXP-509 Fault-Tolerant Network",IF($C35="MXP-503","MXP-503 Standard Network","NO NETWORK Card"))</f>
        <v>NO NETWORK Card</v>
      </c>
      <c r="C16" s="32">
        <f>IF($C35="MXP-509",$L11,IF($C35="MXP-503",$L10,$L12))</f>
        <v>0</v>
      </c>
      <c r="D16" s="20">
        <v>1</v>
      </c>
      <c r="E16" s="31">
        <f t="shared" si="0"/>
        <v>0</v>
      </c>
      <c r="F16" s="31">
        <f>IF($C35="MXP-509",$M11,IF($C35="MXP-503",$M10,$M12))</f>
        <v>0</v>
      </c>
      <c r="G16" s="7">
        <f t="shared" si="2"/>
        <v>1</v>
      </c>
      <c r="H16" s="33">
        <f t="shared" si="1"/>
        <v>0</v>
      </c>
      <c r="I16" s="57"/>
      <c r="K16" t="s">
        <v>0</v>
      </c>
      <c r="L16">
        <v>0</v>
      </c>
      <c r="M16">
        <v>0</v>
      </c>
    </row>
    <row r="17" spans="1:9" ht="12.75">
      <c r="A17" s="49"/>
      <c r="B17" s="6" t="str">
        <f>IF($C36="MXP-507","MXP-507 2-Way Relay Card",IF($C36="MXP-532","MXP-532 Routing / Protection I/F","NO PLUG-IN Card"))</f>
        <v>NO PLUG-IN Card</v>
      </c>
      <c r="C17" s="31">
        <f>IF($C36="MXP-507",$L14,IF($C36="MXP-532",$L15,$L16))</f>
        <v>0</v>
      </c>
      <c r="D17" s="20">
        <v>1</v>
      </c>
      <c r="E17" s="31">
        <f t="shared" si="0"/>
        <v>0</v>
      </c>
      <c r="F17" s="31">
        <f>IF($C36="MXP-507",$M14,IF($C36="MXP-532",$M15,$M16))</f>
        <v>0</v>
      </c>
      <c r="G17" s="7">
        <f t="shared" si="2"/>
        <v>1</v>
      </c>
      <c r="H17" s="33">
        <f t="shared" si="1"/>
        <v>0</v>
      </c>
      <c r="I17" s="57"/>
    </row>
    <row r="18" spans="1:9" ht="12.75">
      <c r="A18" s="49"/>
      <c r="B18" s="6" t="str">
        <f>IF($C37="NONE","NO LED INDICATOR Card","MXP-513-XXX LED INDICATOR Card")</f>
        <v>NO LED INDICATOR Card</v>
      </c>
      <c r="C18" s="31">
        <f>IF(C37="NONE",0,((C37/50)*L19))</f>
        <v>0</v>
      </c>
      <c r="D18" s="20">
        <f>IF($C37="NONE",0,($C37/50))</f>
        <v>0</v>
      </c>
      <c r="E18" s="31">
        <f t="shared" si="0"/>
        <v>0</v>
      </c>
      <c r="F18" s="31">
        <f>IF(C37="NONE",0,((C37/50)*M19))</f>
        <v>0</v>
      </c>
      <c r="G18" s="7">
        <f t="shared" si="2"/>
        <v>0</v>
      </c>
      <c r="H18" s="33">
        <f t="shared" si="1"/>
        <v>0</v>
      </c>
      <c r="I18" s="57"/>
    </row>
    <row r="19" spans="1:13" ht="12.75">
      <c r="A19" s="49"/>
      <c r="B19" s="6" t="str">
        <f>IF(C38="MXP-512","MXP-512 INTERNAL PRINTER","NO PRINTER")</f>
        <v>NO PRINTER</v>
      </c>
      <c r="C19" s="31">
        <f>IF(C38="NONE",0,L26)</f>
        <v>0</v>
      </c>
      <c r="D19" s="20">
        <v>1</v>
      </c>
      <c r="E19" s="31">
        <f t="shared" si="0"/>
        <v>0</v>
      </c>
      <c r="F19" s="31">
        <f>IF(C38="NONE",0,M26)</f>
        <v>0</v>
      </c>
      <c r="G19" s="7">
        <f t="shared" si="2"/>
        <v>1</v>
      </c>
      <c r="H19" s="33">
        <f t="shared" si="1"/>
        <v>0</v>
      </c>
      <c r="I19" s="57"/>
      <c r="K19">
        <v>50</v>
      </c>
      <c r="L19">
        <v>0.008</v>
      </c>
      <c r="M19">
        <v>0.03</v>
      </c>
    </row>
    <row r="20" spans="1:13" ht="12.75">
      <c r="A20" s="49"/>
      <c r="B20" s="6" t="str">
        <f>IF(C39="MXP-504","MXP-504 FAT I/F",IF(C39="MXP-504/508","MXP-504 FAT I/F + MXP-508 RELAY","NO FAT INTERFACE"))</f>
        <v>NO FAT INTERFACE</v>
      </c>
      <c r="C20" s="31">
        <f>IF(C39="MXP-504",L29,IF(C39="MXP-504/508",L30,L31))</f>
        <v>0</v>
      </c>
      <c r="D20" s="20">
        <v>1</v>
      </c>
      <c r="E20" s="31">
        <f t="shared" si="0"/>
        <v>0</v>
      </c>
      <c r="F20" s="31">
        <f>IF(C39="MXP-504",M29,IF(C39="MXP-504/508",M30,M31))</f>
        <v>0</v>
      </c>
      <c r="G20" s="7">
        <f t="shared" si="2"/>
        <v>1</v>
      </c>
      <c r="H20" s="33">
        <f t="shared" si="1"/>
        <v>0</v>
      </c>
      <c r="I20" s="57"/>
      <c r="K20">
        <v>100</v>
      </c>
      <c r="L20">
        <f>L19*2</f>
        <v>0.016</v>
      </c>
      <c r="M20">
        <f>M19*2</f>
        <v>0.06</v>
      </c>
    </row>
    <row r="21" spans="1:13" ht="12.75">
      <c r="A21" s="49"/>
      <c r="B21" s="6">
        <f>IF(C39="NONE","","MXP-504 SUPPLY OUTPUT LOADS")</f>
      </c>
      <c r="C21" s="38">
        <v>0</v>
      </c>
      <c r="D21" s="30">
        <v>1</v>
      </c>
      <c r="E21" s="31">
        <f>IF(C39="none",0,C21*D21)</f>
        <v>0</v>
      </c>
      <c r="F21" s="38">
        <v>0</v>
      </c>
      <c r="G21" s="30">
        <v>1</v>
      </c>
      <c r="H21" s="33">
        <f>IF(C39="none",0,F21*G21)</f>
        <v>0</v>
      </c>
      <c r="I21" s="57"/>
      <c r="K21">
        <v>150</v>
      </c>
      <c r="L21">
        <f>L19*3</f>
        <v>0.024</v>
      </c>
      <c r="M21">
        <f>M19*3</f>
        <v>0.09</v>
      </c>
    </row>
    <row r="22" spans="1:13" ht="12.75">
      <c r="A22" s="49"/>
      <c r="B22" s="6" t="s">
        <v>42</v>
      </c>
      <c r="C22" s="38">
        <v>0</v>
      </c>
      <c r="D22" s="30">
        <v>1</v>
      </c>
      <c r="E22" s="31">
        <f t="shared" si="0"/>
        <v>0</v>
      </c>
      <c r="F22" s="38">
        <v>0</v>
      </c>
      <c r="G22" s="30">
        <v>1</v>
      </c>
      <c r="H22" s="33">
        <f t="shared" si="1"/>
        <v>0</v>
      </c>
      <c r="I22" s="57"/>
      <c r="K22">
        <v>200</v>
      </c>
      <c r="L22">
        <f>L19*4</f>
        <v>0.032</v>
      </c>
      <c r="M22">
        <f>M19*4</f>
        <v>0.12</v>
      </c>
    </row>
    <row r="23" spans="1:13" ht="12.75">
      <c r="A23" s="49"/>
      <c r="B23" s="26"/>
      <c r="C23" s="18"/>
      <c r="D23" s="27"/>
      <c r="E23" s="18"/>
      <c r="F23" s="28"/>
      <c r="G23" s="19"/>
      <c r="H23" s="29"/>
      <c r="I23" s="57"/>
      <c r="K23">
        <v>250</v>
      </c>
      <c r="L23">
        <f>L19*5</f>
        <v>0.04</v>
      </c>
      <c r="M23">
        <f>M19*5</f>
        <v>0.15</v>
      </c>
    </row>
    <row r="24" spans="1:13" ht="12.75">
      <c r="A24" s="49"/>
      <c r="B24" s="6" t="s">
        <v>14</v>
      </c>
      <c r="C24" s="21"/>
      <c r="D24" s="4"/>
      <c r="E24" s="23"/>
      <c r="F24" s="22">
        <v>0</v>
      </c>
      <c r="G24" s="30">
        <v>1</v>
      </c>
      <c r="H24" s="33">
        <f t="shared" si="1"/>
        <v>0</v>
      </c>
      <c r="I24" s="57"/>
      <c r="K24" t="s">
        <v>0</v>
      </c>
      <c r="L24">
        <v>0</v>
      </c>
      <c r="M24">
        <v>0</v>
      </c>
    </row>
    <row r="25" spans="1:9" ht="12.75">
      <c r="A25" s="49"/>
      <c r="B25" s="6" t="s">
        <v>15</v>
      </c>
      <c r="C25" s="21"/>
      <c r="D25" s="4"/>
      <c r="E25" s="23"/>
      <c r="F25" s="22">
        <v>0</v>
      </c>
      <c r="G25" s="30">
        <v>1</v>
      </c>
      <c r="H25" s="33">
        <f t="shared" si="1"/>
        <v>0</v>
      </c>
      <c r="I25" s="57"/>
    </row>
    <row r="26" spans="1:13" ht="12.75">
      <c r="A26" s="49"/>
      <c r="B26" s="6" t="str">
        <f>IF(B6=5400,"Sounder Output C","")</f>
        <v>Sounder Output C</v>
      </c>
      <c r="C26" s="21"/>
      <c r="D26" s="4"/>
      <c r="E26" s="23"/>
      <c r="F26" s="22">
        <v>0</v>
      </c>
      <c r="G26" s="30">
        <v>1</v>
      </c>
      <c r="H26" s="33">
        <f>IF(B6&lt;&gt;5400,0,F26*G26)</f>
        <v>0</v>
      </c>
      <c r="I26" s="57"/>
      <c r="K26" t="s">
        <v>39</v>
      </c>
      <c r="L26">
        <v>0.012</v>
      </c>
      <c r="M26">
        <v>0.27</v>
      </c>
    </row>
    <row r="27" spans="1:13" ht="12.75">
      <c r="A27" s="49"/>
      <c r="B27" s="6" t="str">
        <f>IF(B6=5400,"Sounder Output D","")</f>
        <v>Sounder Output D</v>
      </c>
      <c r="C27" s="21"/>
      <c r="D27" s="4"/>
      <c r="E27" s="24"/>
      <c r="F27" s="22">
        <v>0</v>
      </c>
      <c r="G27" s="30">
        <v>1</v>
      </c>
      <c r="H27" s="33">
        <f>IF(B6&lt;&gt;5400,0,F27*G27)</f>
        <v>0</v>
      </c>
      <c r="I27" s="57"/>
      <c r="K27" t="s">
        <v>0</v>
      </c>
      <c r="L27">
        <v>0</v>
      </c>
      <c r="M27">
        <v>0</v>
      </c>
    </row>
    <row r="28" spans="1:9" ht="12.75">
      <c r="A28" s="49"/>
      <c r="B28" s="40" t="s">
        <v>8</v>
      </c>
      <c r="C28" s="41" t="s">
        <v>48</v>
      </c>
      <c r="D28" s="42"/>
      <c r="E28" s="44">
        <f>SUM(E7:E22)</f>
        <v>0.11399999999999999</v>
      </c>
      <c r="F28" s="41" t="s">
        <v>16</v>
      </c>
      <c r="G28" s="42"/>
      <c r="H28" s="43">
        <f>SUM(H7:H27)</f>
        <v>0.167</v>
      </c>
      <c r="I28" s="57"/>
    </row>
    <row r="29" spans="1:13" ht="12.75">
      <c r="A29" s="49"/>
      <c r="B29" s="9" t="s">
        <v>17</v>
      </c>
      <c r="C29" s="37">
        <v>24</v>
      </c>
      <c r="D29" s="10" t="s">
        <v>18</v>
      </c>
      <c r="E29" s="36">
        <f>E28*C29</f>
        <v>2.7359999999999998</v>
      </c>
      <c r="F29" s="11"/>
      <c r="G29" s="10" t="s">
        <v>19</v>
      </c>
      <c r="H29" s="34">
        <f>H28*2*0.5</f>
        <v>0.167</v>
      </c>
      <c r="I29" s="57"/>
      <c r="K29" t="s">
        <v>40</v>
      </c>
      <c r="L29">
        <v>0.025</v>
      </c>
      <c r="M29">
        <v>0.034</v>
      </c>
    </row>
    <row r="30" spans="1:13" ht="12.75">
      <c r="A30" s="49"/>
      <c r="B30" s="51"/>
      <c r="C30" s="12"/>
      <c r="D30" s="8"/>
      <c r="E30" s="13"/>
      <c r="F30" s="14" t="s">
        <v>20</v>
      </c>
      <c r="G30" s="8"/>
      <c r="H30" s="35">
        <f>E29</f>
        <v>2.7359999999999998</v>
      </c>
      <c r="I30" s="57"/>
      <c r="K30" t="s">
        <v>41</v>
      </c>
      <c r="L30">
        <v>0.025</v>
      </c>
      <c r="M30">
        <v>0.099</v>
      </c>
    </row>
    <row r="31" spans="1:13" ht="12.75">
      <c r="A31" s="49"/>
      <c r="B31" s="51"/>
      <c r="C31" s="12"/>
      <c r="D31" s="13"/>
      <c r="E31" s="13"/>
      <c r="F31" s="13"/>
      <c r="G31" s="15" t="s">
        <v>21</v>
      </c>
      <c r="H31" s="35">
        <f>SUM(H29:H30)</f>
        <v>2.9029999999999996</v>
      </c>
      <c r="I31" s="58"/>
      <c r="K31" t="s">
        <v>0</v>
      </c>
      <c r="L31">
        <v>0</v>
      </c>
      <c r="M31">
        <v>0</v>
      </c>
    </row>
    <row r="32" spans="1:9" ht="12.75">
      <c r="A32" s="49"/>
      <c r="B32" s="51"/>
      <c r="C32" s="16"/>
      <c r="D32" s="11"/>
      <c r="E32" s="11"/>
      <c r="F32" s="11"/>
      <c r="G32" s="10" t="s">
        <v>22</v>
      </c>
      <c r="H32" s="39">
        <f>H31*1.25</f>
        <v>3.6287499999999993</v>
      </c>
      <c r="I32" s="59"/>
    </row>
    <row r="33" spans="1:13" ht="12.75">
      <c r="A33" s="49"/>
      <c r="B33" s="53" t="s">
        <v>44</v>
      </c>
      <c r="C33" s="53"/>
      <c r="D33" s="53"/>
      <c r="E33" s="53"/>
      <c r="F33" s="53"/>
      <c r="G33" s="53"/>
      <c r="H33" s="53"/>
      <c r="I33" s="59"/>
      <c r="K33" t="s">
        <v>46</v>
      </c>
      <c r="L33">
        <v>0.0003</v>
      </c>
      <c r="M33">
        <v>0.0035</v>
      </c>
    </row>
    <row r="34" spans="1:13" ht="12.75">
      <c r="A34" s="49"/>
      <c r="B34" s="3" t="s">
        <v>27</v>
      </c>
      <c r="C34" s="70" t="s">
        <v>29</v>
      </c>
      <c r="D34" s="71"/>
      <c r="E34" s="53"/>
      <c r="F34" s="53"/>
      <c r="G34" s="53"/>
      <c r="H34" s="53"/>
      <c r="I34" s="59"/>
      <c r="K34" t="s">
        <v>47</v>
      </c>
      <c r="L34">
        <v>0.0003</v>
      </c>
      <c r="M34">
        <v>0.00825</v>
      </c>
    </row>
    <row r="35" spans="1:9" ht="12.75">
      <c r="A35" s="49"/>
      <c r="B35" s="3" t="s">
        <v>26</v>
      </c>
      <c r="C35" s="70" t="s">
        <v>0</v>
      </c>
      <c r="D35" s="71"/>
      <c r="E35" s="53"/>
      <c r="F35" s="53"/>
      <c r="G35" s="53"/>
      <c r="H35" s="53"/>
      <c r="I35" s="60"/>
    </row>
    <row r="36" spans="1:9" ht="12.75">
      <c r="A36" s="49"/>
      <c r="B36" s="3" t="s">
        <v>35</v>
      </c>
      <c r="C36" s="70" t="s">
        <v>0</v>
      </c>
      <c r="D36" s="71"/>
      <c r="E36" s="51">
        <f>IF(C36="NONE","","Alarm load figure is all O/P ON")</f>
      </c>
      <c r="F36" s="51"/>
      <c r="G36" s="51"/>
      <c r="H36" s="51"/>
      <c r="I36" s="52"/>
    </row>
    <row r="37" spans="1:9" ht="12.75">
      <c r="A37" s="49"/>
      <c r="B37" s="3" t="s">
        <v>36</v>
      </c>
      <c r="C37" s="70" t="s">
        <v>0</v>
      </c>
      <c r="D37" s="71"/>
      <c r="E37" s="51">
        <f>IF(C37="NONE","","Alarm load figure is all LED ON")</f>
      </c>
      <c r="F37" s="51"/>
      <c r="G37" s="51"/>
      <c r="H37" s="51"/>
      <c r="I37" s="52"/>
    </row>
    <row r="38" spans="1:9" ht="12.75">
      <c r="A38" s="49"/>
      <c r="B38" s="17" t="s">
        <v>38</v>
      </c>
      <c r="C38" s="70" t="s">
        <v>0</v>
      </c>
      <c r="D38" s="71"/>
      <c r="E38" s="51">
        <f>IF(C38="NONE","","Alarm load figure is PRINTING")</f>
      </c>
      <c r="F38" s="51"/>
      <c r="G38" s="51"/>
      <c r="H38" s="51"/>
      <c r="I38" s="52"/>
    </row>
    <row r="39" spans="1:9" ht="12.75">
      <c r="A39" s="49"/>
      <c r="B39" s="17" t="s">
        <v>45</v>
      </c>
      <c r="C39" s="70" t="s">
        <v>0</v>
      </c>
      <c r="D39" s="71"/>
      <c r="E39" s="51">
        <f>IF(C39="NONE","","Alarm load figure is all O/P ON")</f>
      </c>
      <c r="F39" s="51"/>
      <c r="G39" s="51"/>
      <c r="H39" s="51"/>
      <c r="I39" s="52"/>
    </row>
    <row r="40" spans="1:9" ht="12.75">
      <c r="A40" s="49"/>
      <c r="B40" s="53"/>
      <c r="C40" s="53"/>
      <c r="D40" s="53"/>
      <c r="E40" s="51">
        <f>IF(C39="NONE","","Add required FAT,FBF,Router AUX loads above")</f>
      </c>
      <c r="F40" s="51"/>
      <c r="G40" s="51"/>
      <c r="H40" s="51"/>
      <c r="I40" s="52"/>
    </row>
    <row r="41" spans="1:9" ht="12.75">
      <c r="A41" s="49"/>
      <c r="B41" s="17" t="s">
        <v>43</v>
      </c>
      <c r="C41" s="80" t="str">
        <f>IF(H32&gt;45.01,"NONE",IF(H32&gt;17.01,"DEEP",IF(H32&gt;12,"LARGE",IF(B6=5400,"LARGE",IF(H32&gt;7,"MEDIUM",IF(B6=5200,"MEDIUM",IF(C39&lt;&gt;"NONE","MEDIUM",IF(C38&lt;&gt;"NONE","MEDIUM","SMALL"))))))))</f>
        <v>LARGE</v>
      </c>
      <c r="D41" s="80"/>
      <c r="E41" s="72">
        <f>IF(C41="NONE","MAX BATTERY SIZE IS 45AH",IF(B6&lt;&gt;5100,"",IF(H32&gt;25,"MAX BATTERY SIZE IS 25AH","")))</f>
      </c>
      <c r="F41" s="73"/>
      <c r="G41" s="73"/>
      <c r="H41" s="63"/>
      <c r="I41" s="52"/>
    </row>
    <row r="42" spans="1:9" ht="13.5" thickBot="1">
      <c r="A42" s="50"/>
      <c r="B42" s="62"/>
      <c r="C42" s="62"/>
      <c r="D42" s="62"/>
      <c r="E42" s="62"/>
      <c r="F42" s="62"/>
      <c r="G42" s="62"/>
      <c r="H42" s="62"/>
      <c r="I42" s="61"/>
    </row>
  </sheetData>
  <sheetProtection/>
  <mergeCells count="11">
    <mergeCell ref="C2:H2"/>
    <mergeCell ref="C3:E3"/>
    <mergeCell ref="G3:H3"/>
    <mergeCell ref="C37:D37"/>
    <mergeCell ref="C41:D41"/>
    <mergeCell ref="C34:D34"/>
    <mergeCell ref="C35:D35"/>
    <mergeCell ref="C36:D36"/>
    <mergeCell ref="C38:D38"/>
    <mergeCell ref="C39:D39"/>
    <mergeCell ref="E41:G41"/>
  </mergeCells>
  <conditionalFormatting sqref="C21:G21">
    <cfRule type="expression" priority="1" dxfId="15" stopIfTrue="1">
      <formula>$B$21=""</formula>
    </cfRule>
  </conditionalFormatting>
  <conditionalFormatting sqref="F26:G27">
    <cfRule type="expression" priority="2" dxfId="14" stopIfTrue="1">
      <formula>$B$26=""</formula>
    </cfRule>
  </conditionalFormatting>
  <conditionalFormatting sqref="C41:D41">
    <cfRule type="cellIs" priority="3" dxfId="13" operator="equal" stopIfTrue="1">
      <formula>"NONE"</formula>
    </cfRule>
  </conditionalFormatting>
  <conditionalFormatting sqref="H28">
    <cfRule type="cellIs" priority="4" dxfId="12" operator="lessThanOrEqual" stopIfTrue="1">
      <formula>3</formula>
    </cfRule>
    <cfRule type="expression" priority="5" dxfId="0" stopIfTrue="1">
      <formula>$B$6="5100"</formula>
    </cfRule>
    <cfRule type="cellIs" priority="6" dxfId="0" operator="greaterThan" stopIfTrue="1">
      <formula>5.001</formula>
    </cfRule>
  </conditionalFormatting>
  <conditionalFormatting sqref="C10:G11">
    <cfRule type="expression" priority="7" dxfId="7" stopIfTrue="1">
      <formula>$B$6=5100</formula>
    </cfRule>
  </conditionalFormatting>
  <conditionalFormatting sqref="C12:G15">
    <cfRule type="expression" priority="8" dxfId="7" stopIfTrue="1">
      <formula>$B$6=5100</formula>
    </cfRule>
    <cfRule type="expression" priority="9" dxfId="7" stopIfTrue="1">
      <formula>$B$6=5200</formula>
    </cfRule>
  </conditionalFormatting>
  <conditionalFormatting sqref="E41:G41">
    <cfRule type="cellIs" priority="10" dxfId="6" operator="notEqual" stopIfTrue="1">
      <formula>""</formula>
    </cfRule>
  </conditionalFormatting>
  <conditionalFormatting sqref="H32">
    <cfRule type="cellIs" priority="11" dxfId="5" operator="lessThanOrEqual" stopIfTrue="1">
      <formula>25</formula>
    </cfRule>
    <cfRule type="expression" priority="12" dxfId="0" stopIfTrue="1">
      <formula>$B$6=5100</formula>
    </cfRule>
    <cfRule type="cellIs" priority="13" dxfId="0" operator="greaterThan" stopIfTrue="1">
      <formula>45.01</formula>
    </cfRule>
  </conditionalFormatting>
  <conditionalFormatting sqref="E28">
    <cfRule type="cellIs" priority="14" dxfId="2" operator="lessThanOrEqual" stopIfTrue="1">
      <formula>1.6</formula>
    </cfRule>
    <cfRule type="expression" priority="15" dxfId="0" stopIfTrue="1">
      <formula>$B$6=5100</formula>
    </cfRule>
    <cfRule type="cellIs" priority="16" dxfId="0" operator="greaterThan" stopIfTrue="1">
      <formula>2.601</formula>
    </cfRule>
  </conditionalFormatting>
  <dataValidations count="16">
    <dataValidation type="list" allowBlank="1" showInputMessage="1" showErrorMessage="1" sqref="C34:D34">
      <formula1>$K$6:$K$8</formula1>
    </dataValidation>
    <dataValidation type="list" allowBlank="1" showInputMessage="1" showErrorMessage="1" sqref="C35">
      <formula1>$K$10:$K$12</formula1>
    </dataValidation>
    <dataValidation type="list" allowBlank="1" showInputMessage="1" showErrorMessage="1" sqref="C36">
      <formula1>$K$14:$K$16</formula1>
    </dataValidation>
    <dataValidation type="list" allowBlank="1" showInputMessage="1" showErrorMessage="1" sqref="C37">
      <formula1>$K$19:$K$24</formula1>
    </dataValidation>
    <dataValidation type="list" allowBlank="1" showInputMessage="1" showErrorMessage="1" sqref="C38">
      <formula1>$K$26:$K$27</formula1>
    </dataValidation>
    <dataValidation type="list" allowBlank="1" showInputMessage="1" showErrorMessage="1" sqref="C39">
      <formula1>$K$29:$K$31</formula1>
    </dataValidation>
    <dataValidation type="decimal" allowBlank="1" showInputMessage="1" showErrorMessage="1" promptTitle="SOUNDER LOAD" prompt="Range: 0 to 1A" errorTitle="SOUNDER LOAD" error="Range is 0 to 1.0A" sqref="F24:F27">
      <formula1>0</formula1>
      <formula2>1</formula2>
    </dataValidation>
    <dataValidation type="decimal" allowBlank="1" showInputMessage="1" showErrorMessage="1" promptTitle="PANEL AUX LOAD" prompt="Enter alarm load supplied from Panel AUX" errorTitle="AUX LOAD" error="Range is 0 to 0.5A" sqref="F22">
      <formula1>0</formula1>
      <formula2>0.5</formula2>
    </dataValidation>
    <dataValidation type="list" allowBlank="1" showInputMessage="1" showErrorMessage="1" sqref="C29">
      <formula1>$O$6:$O$9</formula1>
    </dataValidation>
    <dataValidation type="decimal" allowBlank="1" showInputMessage="1" showErrorMessage="1" promptTitle="AUX LOAD" prompt="Enter quiescent load taken by FAT and Routers" errorTitle="AUX LOAD" error="Range is 0 to 0.5A" sqref="C21">
      <formula1>0</formula1>
      <formula2>0.5</formula2>
    </dataValidation>
    <dataValidation type="decimal" allowBlank="1" showInputMessage="1" showErrorMessage="1" promptTitle="AUX LOAD" prompt="Enter alarm load taken by FAT and Routers" errorTitle="AUX LOAD" error="Range is 0 to 0.5A" sqref="F21">
      <formula1>0</formula1>
      <formula2>0.5</formula2>
    </dataValidation>
    <dataValidation type="decimal" allowBlank="1" showInputMessage="1" showErrorMessage="1" promptTitle="PANEL AUX LOAD" prompt="Enter quiescent load supplied from Panel AUX" errorTitle="AUX LOAD MAXIMUM" error="Range is 0 to 0.5A" sqref="C22">
      <formula1>0</formula1>
      <formula2>0.5</formula2>
    </dataValidation>
    <dataValidation type="list" allowBlank="1" showInputMessage="1" showErrorMessage="1" promptTitle="PANEL TYPE" prompt="Select the required panel type" sqref="B6">
      <formula1>$O$12:$O$14</formula1>
    </dataValidation>
    <dataValidation allowBlank="1" showInputMessage="1" showErrorMessage="1" promptTitle="PROJECT" prompt="Enter the name of the project / building to which this design applies" sqref="C2:H2"/>
    <dataValidation allowBlank="1" showInputMessage="1" showErrorMessage="1" promptTitle="YOUR NAME" prompt="Enter your name" sqref="C3:E3"/>
    <dataValidation operator="equal" allowBlank="1" showInputMessage="1" showErrorMessage="1" promptTitle="DATE" prompt="Enter date in dd/mm/yyyy format" sqref="G3:H3"/>
  </dataValidations>
  <printOptions/>
  <pageMargins left="0.75" right="0.75" top="1" bottom="1" header="0.5" footer="0.5"/>
  <pageSetup fitToHeight="0" fitToWidth="1" orientation="landscape" paperSize="9" scale="76" r:id="rId1"/>
  <ignoredErrors>
    <ignoredError sqref="E21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Wilson</dc:creator>
  <cp:keywords/>
  <dc:description/>
  <cp:lastModifiedBy>Nick Blackhall</cp:lastModifiedBy>
  <cp:lastPrinted>2010-05-17T16:14:30Z</cp:lastPrinted>
  <dcterms:created xsi:type="dcterms:W3CDTF">2010-04-07T10:28:37Z</dcterms:created>
  <dcterms:modified xsi:type="dcterms:W3CDTF">2018-01-11T11:13:32Z</dcterms:modified>
  <cp:category/>
  <cp:version/>
  <cp:contentType/>
  <cp:contentStatus/>
</cp:coreProperties>
</file>